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obrowolskiLuk\Desktop\Projekty\1_Projekty\Słoneczna, Ostrołeka\1. Branża Sanitarna\1. Tom II - Projekt techniczny Kanalizacja deszczowa\4. Opertat wodnoprawny\EDIT\"/>
    </mc:Choice>
  </mc:AlternateContent>
  <xr:revisionPtr revIDLastSave="0" documentId="13_ncr:1_{C34C6323-C707-4D04-920A-0686C79C6508}" xr6:coauthVersionLast="47" xr6:coauthVersionMax="47" xr10:uidLastSave="{00000000-0000-0000-0000-000000000000}"/>
  <bookViews>
    <workbookView xWindow="-28920" yWindow="-1995" windowWidth="29040" windowHeight="15840" xr2:uid="{00000000-000D-0000-FFFF-FFFF00000000}"/>
  </bookViews>
  <sheets>
    <sheet name="ul. Kołłątaj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9" i="2" l="1"/>
  <c r="Q40" i="2"/>
  <c r="P40" i="2"/>
  <c r="P39" i="2"/>
  <c r="Y33" i="2"/>
  <c r="F3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AD19" i="2"/>
  <c r="Z19" i="2"/>
  <c r="AB19" i="2" s="1"/>
  <c r="Y19" i="2"/>
  <c r="AE19" i="2" s="1"/>
  <c r="Y20" i="2"/>
  <c r="Y37" i="2"/>
  <c r="Y21" i="2"/>
  <c r="Y22" i="2"/>
  <c r="Y23" i="2"/>
  <c r="Y24" i="2"/>
  <c r="Y25" i="2"/>
  <c r="Y26" i="2"/>
  <c r="Y27" i="2"/>
  <c r="Y28" i="2"/>
  <c r="Y29" i="2"/>
  <c r="Y30" i="2"/>
  <c r="Y31" i="2"/>
  <c r="Y32" i="2"/>
  <c r="Y34" i="2"/>
  <c r="Y35" i="2"/>
  <c r="Y36" i="2"/>
  <c r="Z18" i="2"/>
  <c r="G37" i="2"/>
  <c r="AA19" i="2" l="1"/>
  <c r="AC19" i="2" s="1"/>
  <c r="I42" i="2"/>
  <c r="Q36" i="2" l="1"/>
  <c r="Q37" i="2"/>
  <c r="N56" i="2"/>
  <c r="O56" i="2" s="1"/>
  <c r="Q33" i="2"/>
  <c r="Q32" i="2"/>
  <c r="P54" i="2"/>
  <c r="P52" i="2"/>
  <c r="Q52" i="2" s="1"/>
  <c r="O54" i="2"/>
  <c r="O52" i="2"/>
  <c r="T28" i="2"/>
  <c r="U28" i="2"/>
  <c r="P50" i="2"/>
  <c r="Q50" i="2" s="1"/>
  <c r="O50" i="2"/>
  <c r="P46" i="2"/>
  <c r="P47" i="2" s="1"/>
  <c r="O46" i="2"/>
  <c r="Q22" i="2"/>
  <c r="Q21" i="2"/>
  <c r="Q20" i="2"/>
  <c r="Q19" i="2"/>
  <c r="Y18" i="2"/>
  <c r="Q26" i="2"/>
  <c r="Q30" i="2"/>
  <c r="P44" i="2"/>
  <c r="Q44" i="2" s="1"/>
  <c r="T32" i="2"/>
  <c r="U32" i="2"/>
  <c r="T33" i="2"/>
  <c r="U33" i="2"/>
  <c r="T34" i="2"/>
  <c r="U34" i="2"/>
  <c r="T35" i="2"/>
  <c r="U35" i="2"/>
  <c r="T36" i="2"/>
  <c r="U36" i="2"/>
  <c r="T37" i="2"/>
  <c r="U37" i="2"/>
  <c r="H32" i="2"/>
  <c r="I32" i="2" s="1"/>
  <c r="L32" i="2"/>
  <c r="H33" i="2"/>
  <c r="I33" i="2" s="1"/>
  <c r="L33" i="2"/>
  <c r="H34" i="2"/>
  <c r="I34" i="2" s="1"/>
  <c r="L34" i="2"/>
  <c r="H35" i="2"/>
  <c r="I35" i="2" s="1"/>
  <c r="L35" i="2"/>
  <c r="H36" i="2"/>
  <c r="I36" i="2" s="1"/>
  <c r="L36" i="2"/>
  <c r="M36" i="2" s="1"/>
  <c r="H37" i="2"/>
  <c r="I37" i="2" s="1"/>
  <c r="L37" i="2"/>
  <c r="P43" i="2"/>
  <c r="O43" i="2"/>
  <c r="Q35" i="2"/>
  <c r="Z35" i="2"/>
  <c r="AB35" i="2" s="1"/>
  <c r="U29" i="2"/>
  <c r="T29" i="2"/>
  <c r="L29" i="2"/>
  <c r="Q27" i="2"/>
  <c r="Q18" i="2"/>
  <c r="Q31" i="2"/>
  <c r="Q28" i="2"/>
  <c r="T31" i="2"/>
  <c r="T30" i="2"/>
  <c r="T27" i="2"/>
  <c r="T26" i="2"/>
  <c r="T25" i="2"/>
  <c r="T24" i="2"/>
  <c r="T23" i="2"/>
  <c r="T22" i="2"/>
  <c r="T21" i="2"/>
  <c r="T20" i="2"/>
  <c r="T19" i="2"/>
  <c r="T18" i="2"/>
  <c r="U31" i="2"/>
  <c r="U30" i="2"/>
  <c r="U27" i="2"/>
  <c r="U26" i="2"/>
  <c r="U25" i="2"/>
  <c r="U24" i="2"/>
  <c r="U23" i="2"/>
  <c r="U22" i="2"/>
  <c r="U21" i="2"/>
  <c r="U20" i="2"/>
  <c r="U19" i="2"/>
  <c r="U18" i="2"/>
  <c r="L31" i="2"/>
  <c r="M31" i="2" s="1"/>
  <c r="N31" i="2" s="1"/>
  <c r="O31" i="2" s="1"/>
  <c r="L19" i="2"/>
  <c r="L20" i="2"/>
  <c r="L21" i="2"/>
  <c r="L22" i="2"/>
  <c r="L23" i="2"/>
  <c r="L24" i="2"/>
  <c r="M24" i="2" s="1"/>
  <c r="N24" i="2" s="1"/>
  <c r="O24" i="2" s="1"/>
  <c r="L25" i="2"/>
  <c r="L26" i="2"/>
  <c r="M26" i="2" s="1"/>
  <c r="L27" i="2"/>
  <c r="L28" i="2"/>
  <c r="L30" i="2"/>
  <c r="L18" i="2"/>
  <c r="M18" i="2" s="1"/>
  <c r="N18" i="2" s="1"/>
  <c r="H30" i="2"/>
  <c r="I30" i="2" s="1"/>
  <c r="H31" i="2"/>
  <c r="I31" i="2" s="1"/>
  <c r="H29" i="2"/>
  <c r="I29" i="2" s="1"/>
  <c r="H25" i="2"/>
  <c r="I25" i="2" s="1"/>
  <c r="H28" i="2"/>
  <c r="I28" i="2" s="1"/>
  <c r="H27" i="2"/>
  <c r="I27" i="2" s="1"/>
  <c r="H23" i="2"/>
  <c r="I23" i="2" s="1"/>
  <c r="H22" i="2"/>
  <c r="I22" i="2" s="1"/>
  <c r="H21" i="2"/>
  <c r="I21" i="2" s="1"/>
  <c r="H20" i="2"/>
  <c r="I20" i="2" s="1"/>
  <c r="H19" i="2"/>
  <c r="I19" i="2" s="1"/>
  <c r="H24" i="2"/>
  <c r="I24" i="2" s="1"/>
  <c r="F18" i="2"/>
  <c r="H18" i="2"/>
  <c r="I18" i="2" s="1"/>
  <c r="M37" i="2" l="1"/>
  <c r="N37" i="2" s="1"/>
  <c r="O37" i="2" s="1"/>
  <c r="N36" i="2"/>
  <c r="O36" i="2" s="1"/>
  <c r="M27" i="2"/>
  <c r="N26" i="2"/>
  <c r="O26" i="2" s="1"/>
  <c r="M32" i="2"/>
  <c r="M25" i="2"/>
  <c r="N25" i="2" s="1"/>
  <c r="O25" i="2" s="1"/>
  <c r="P56" i="2"/>
  <c r="Q56" i="2" s="1"/>
  <c r="Q24" i="2"/>
  <c r="O44" i="2"/>
  <c r="Q34" i="2"/>
  <c r="AD36" i="2"/>
  <c r="AD35" i="2"/>
  <c r="O18" i="2"/>
  <c r="P18" i="2" s="1"/>
  <c r="Z37" i="2"/>
  <c r="AB37" i="2" s="1"/>
  <c r="Z36" i="2"/>
  <c r="AB36" i="2" s="1"/>
  <c r="Q29" i="2"/>
  <c r="Q25" i="2"/>
  <c r="AE18" i="2"/>
  <c r="AA18" i="2"/>
  <c r="AC18" i="2" s="1"/>
  <c r="AB18" i="2"/>
  <c r="Q23" i="2"/>
  <c r="AD18" i="2"/>
  <c r="H26" i="2"/>
  <c r="I26" i="2" s="1"/>
  <c r="M19" i="2"/>
  <c r="N19" i="2" s="1"/>
  <c r="O19" i="2" s="1"/>
  <c r="AA37" i="2" l="1"/>
  <c r="AC37" i="2" s="1"/>
  <c r="M33" i="2"/>
  <c r="N32" i="2"/>
  <c r="O32" i="2" s="1"/>
  <c r="M28" i="2"/>
  <c r="N27" i="2"/>
  <c r="O27" i="2" s="1"/>
  <c r="P27" i="2" s="1"/>
  <c r="AD37" i="2"/>
  <c r="AA35" i="2"/>
  <c r="AC35" i="2" s="1"/>
  <c r="AE35" i="2"/>
  <c r="AA36" i="2"/>
  <c r="AC36" i="2" s="1"/>
  <c r="AE36" i="2"/>
  <c r="P19" i="2"/>
  <c r="M20" i="2"/>
  <c r="N20" i="2" s="1"/>
  <c r="O20" i="2" s="1"/>
  <c r="AE37" i="2" l="1"/>
  <c r="N28" i="2"/>
  <c r="M29" i="2"/>
  <c r="M34" i="2"/>
  <c r="N33" i="2"/>
  <c r="O33" i="2" s="1"/>
  <c r="M21" i="2"/>
  <c r="N21" i="2" s="1"/>
  <c r="O21" i="2" s="1"/>
  <c r="P20" i="2"/>
  <c r="O28" i="2" l="1"/>
  <c r="P28" i="2" s="1"/>
  <c r="N34" i="2"/>
  <c r="O34" i="2" s="1"/>
  <c r="M35" i="2"/>
  <c r="N35" i="2" s="1"/>
  <c r="O35" i="2" s="1"/>
  <c r="M30" i="2"/>
  <c r="N30" i="2" s="1"/>
  <c r="O30" i="2" s="1"/>
  <c r="N29" i="2"/>
  <c r="Z20" i="2"/>
  <c r="AB20" i="2" s="1"/>
  <c r="AD20" i="2"/>
  <c r="M22" i="2"/>
  <c r="N22" i="2" s="1"/>
  <c r="O22" i="2" s="1"/>
  <c r="P21" i="2"/>
  <c r="O29" i="2" l="1"/>
  <c r="P29" i="2" s="1"/>
  <c r="AE20" i="2"/>
  <c r="AA20" i="2"/>
  <c r="AC20" i="2" s="1"/>
  <c r="M23" i="2"/>
  <c r="N23" i="2" s="1"/>
  <c r="O23" i="2" s="1"/>
  <c r="P22" i="2"/>
  <c r="P25" i="2" l="1"/>
  <c r="P24" i="2"/>
  <c r="P23" i="2"/>
  <c r="Z21" i="2"/>
  <c r="AB21" i="2" s="1"/>
  <c r="AD21" i="2"/>
  <c r="AA21" i="2" l="1"/>
  <c r="AC21" i="2" s="1"/>
  <c r="AE21" i="2"/>
  <c r="P26" i="2"/>
  <c r="AD22" i="2" l="1"/>
  <c r="Z22" i="2"/>
  <c r="AB22" i="2" s="1"/>
  <c r="P30" i="2"/>
  <c r="AA22" i="2" l="1"/>
  <c r="AC22" i="2" s="1"/>
  <c r="AE22" i="2"/>
  <c r="P31" i="2" l="1"/>
  <c r="P32" i="2"/>
  <c r="AD23" i="2"/>
  <c r="Z23" i="2"/>
  <c r="AB23" i="2" s="1"/>
  <c r="Z24" i="2" l="1"/>
  <c r="AB24" i="2" s="1"/>
  <c r="AD24" i="2"/>
  <c r="P33" i="2"/>
  <c r="AA23" i="2"/>
  <c r="AC23" i="2" s="1"/>
  <c r="AE23" i="2"/>
  <c r="AA24" i="2" l="1"/>
  <c r="AC24" i="2" s="1"/>
  <c r="AE24" i="2"/>
  <c r="P34" i="2"/>
  <c r="Z26" i="2"/>
  <c r="AB26" i="2" s="1"/>
  <c r="AD26" i="2"/>
  <c r="AD27" i="2" l="1"/>
  <c r="Z27" i="2"/>
  <c r="AB27" i="2" s="1"/>
  <c r="AD25" i="2"/>
  <c r="Z25" i="2"/>
  <c r="AB25" i="2" s="1"/>
  <c r="P35" i="2"/>
  <c r="AE26" i="2"/>
  <c r="AA26" i="2"/>
  <c r="AC26" i="2" s="1"/>
  <c r="AA25" i="2" l="1"/>
  <c r="AC25" i="2" s="1"/>
  <c r="AE25" i="2"/>
  <c r="AA27" i="2"/>
  <c r="AC27" i="2" s="1"/>
  <c r="AE27" i="2"/>
  <c r="P36" i="2"/>
  <c r="Z28" i="2" l="1"/>
  <c r="AB28" i="2" s="1"/>
  <c r="AD28" i="2"/>
  <c r="P37" i="2"/>
  <c r="AE28" i="2" l="1"/>
  <c r="AA28" i="2"/>
  <c r="AC28" i="2" s="1"/>
  <c r="AD31" i="2"/>
  <c r="Z31" i="2"/>
  <c r="AB31" i="2" s="1"/>
  <c r="Z29" i="2" l="1"/>
  <c r="AB29" i="2" s="1"/>
  <c r="AD29" i="2"/>
  <c r="Z32" i="2"/>
  <c r="AB32" i="2" s="1"/>
  <c r="AD32" i="2"/>
  <c r="AA31" i="2"/>
  <c r="AC31" i="2" s="1"/>
  <c r="AE31" i="2"/>
  <c r="AE32" i="2" l="1"/>
  <c r="AA32" i="2"/>
  <c r="AC32" i="2" s="1"/>
  <c r="AA29" i="2"/>
  <c r="AC29" i="2" s="1"/>
  <c r="AE29" i="2"/>
  <c r="Z33" i="2" l="1"/>
  <c r="AB33" i="2" s="1"/>
  <c r="AD33" i="2"/>
  <c r="Z30" i="2"/>
  <c r="AB30" i="2" s="1"/>
  <c r="AD30" i="2"/>
  <c r="AA33" i="2" l="1"/>
  <c r="AC33" i="2" s="1"/>
  <c r="AE33" i="2"/>
  <c r="AA30" i="2"/>
  <c r="AC30" i="2" s="1"/>
  <c r="AE30" i="2"/>
  <c r="AD34" i="2" l="1"/>
  <c r="Z34" i="2"/>
  <c r="AB34" i="2" s="1"/>
  <c r="AE34" i="2" l="1"/>
  <c r="AA34" i="2"/>
  <c r="AC34" i="2" s="1"/>
</calcChain>
</file>

<file path=xl/sharedStrings.xml><?xml version="1.0" encoding="utf-8"?>
<sst xmlns="http://schemas.openxmlformats.org/spreadsheetml/2006/main" count="179" uniqueCount="131">
  <si>
    <t>Odcinek</t>
  </si>
  <si>
    <t>p=</t>
  </si>
  <si>
    <t>%</t>
  </si>
  <si>
    <t xml:space="preserve">prawdopodobieństwo:     </t>
  </si>
  <si>
    <t xml:space="preserve">czas koncentracji:                       </t>
  </si>
  <si>
    <r>
      <t>t</t>
    </r>
    <r>
      <rPr>
        <vertAlign val="subscript"/>
        <sz val="10"/>
        <rFont val="Arial CE"/>
        <charset val="238"/>
      </rPr>
      <t>k</t>
    </r>
    <r>
      <rPr>
        <sz val="10"/>
        <rFont val="Arial CE"/>
        <charset val="238"/>
      </rPr>
      <t>=</t>
    </r>
  </si>
  <si>
    <t>roczna suma opadów:</t>
  </si>
  <si>
    <t>H=</t>
  </si>
  <si>
    <t>mm</t>
  </si>
  <si>
    <t>wspólczynnik spływu dla</t>
  </si>
  <si>
    <t>powierzchni bitumicznych:</t>
  </si>
  <si>
    <t>ψ=</t>
  </si>
  <si>
    <t>tabela nr 1.</t>
  </si>
  <si>
    <t>s</t>
  </si>
  <si>
    <t>A=</t>
  </si>
  <si>
    <t>wartość stała dla sumy</t>
  </si>
  <si>
    <t>L</t>
  </si>
  <si>
    <t>Identyfikacja kanału deszczowego</t>
  </si>
  <si>
    <t>Obliczenie miarodajnego odpływu ścieków deszczowych</t>
  </si>
  <si>
    <t> Spadek terenu</t>
  </si>
  <si>
    <t>Dobór kanału</t>
  </si>
  <si>
    <t>Rzędne</t>
  </si>
  <si>
    <t xml:space="preserve">Zagłębienie </t>
  </si>
  <si>
    <t>kanału</t>
  </si>
  <si>
    <t>Przykrycie</t>
  </si>
  <si>
    <t xml:space="preserve">Rzędne </t>
  </si>
  <si>
    <t xml:space="preserve">zwierciadła </t>
  </si>
  <si>
    <t>ścieków</t>
  </si>
  <si>
    <t>Długość</t>
  </si>
  <si>
    <t>Powierzchnia zlewni deszczowej</t>
  </si>
  <si>
    <t>Powierzchnia zlewni descz. zred. na odcinku</t>
  </si>
  <si>
    <t>Suma powierzchni zredukowanych od początku</t>
  </si>
  <si>
    <t>Powtarzalność  (częstość) deszczu</t>
  </si>
  <si>
    <t>Prędkość przepływu ścieków założona</t>
  </si>
  <si>
    <t>Czas przepływu na odcinku</t>
  </si>
  <si>
    <t>Suma czasu przepływu od początku</t>
  </si>
  <si>
    <t>Czas miarodajny tm =∑tp</t>
  </si>
  <si>
    <t>Natężenie deszczu miarodajnego</t>
  </si>
  <si>
    <r>
      <t>Strumień objętośći:   Q</t>
    </r>
    <r>
      <rPr>
        <vertAlign val="subscript"/>
        <sz val="9"/>
        <rFont val="Calibri"/>
        <family val="2"/>
        <charset val="238"/>
      </rPr>
      <t>d</t>
    </r>
    <r>
      <rPr>
        <sz val="9"/>
        <rFont val="Calibri"/>
        <family val="2"/>
        <charset val="238"/>
      </rPr>
      <t xml:space="preserve"> = q</t>
    </r>
    <r>
      <rPr>
        <vertAlign val="subscript"/>
        <sz val="9"/>
        <rFont val="Calibri"/>
        <family val="2"/>
        <charset val="238"/>
      </rPr>
      <t>m</t>
    </r>
    <r>
      <rPr>
        <sz val="9"/>
        <rFont val="Calibri"/>
        <family val="2"/>
        <charset val="238"/>
      </rPr>
      <t xml:space="preserve"> </t>
    </r>
    <r>
      <rPr>
        <vertAlign val="superscript"/>
        <sz val="9"/>
        <rFont val="Calibri"/>
        <family val="2"/>
        <charset val="238"/>
      </rPr>
      <t>.</t>
    </r>
    <r>
      <rPr>
        <sz val="9"/>
        <rFont val="Calibri"/>
        <family val="2"/>
        <charset val="238"/>
      </rPr>
      <t xml:space="preserve"> ∑F</t>
    </r>
    <r>
      <rPr>
        <vertAlign val="subscript"/>
        <sz val="9"/>
        <rFont val="Calibri"/>
        <family val="2"/>
        <charset val="238"/>
      </rPr>
      <t>iZR</t>
    </r>
  </si>
  <si>
    <t>Typ i wymiar kanału</t>
  </si>
  <si>
    <t>Spadek dna kanału</t>
  </si>
  <si>
    <t>Napełnienie</t>
  </si>
  <si>
    <t>Rzeczywista prędkość przepływu ścieków</t>
  </si>
  <si>
    <t>Terenu</t>
  </si>
  <si>
    <t>Dna kanału</t>
  </si>
  <si>
    <t>od początku</t>
  </si>
  <si>
    <t>Węzeł początkowy</t>
  </si>
  <si>
    <t>Węzeł końcowy</t>
  </si>
  <si>
    <t>od</t>
  </si>
  <si>
    <t>do</t>
  </si>
  <si>
    <r>
      <t>∑l</t>
    </r>
    <r>
      <rPr>
        <vertAlign val="subscript"/>
        <sz val="9"/>
        <rFont val="Calibri"/>
        <family val="2"/>
        <charset val="238"/>
      </rPr>
      <t>i</t>
    </r>
  </si>
  <si>
    <r>
      <t>F</t>
    </r>
    <r>
      <rPr>
        <vertAlign val="subscript"/>
        <sz val="9"/>
        <rFont val="Calibri"/>
        <family val="2"/>
        <charset val="238"/>
      </rPr>
      <t>i</t>
    </r>
  </si>
  <si>
    <r>
      <t>F</t>
    </r>
    <r>
      <rPr>
        <vertAlign val="subscript"/>
        <sz val="9"/>
        <rFont val="Calibri"/>
        <family val="2"/>
        <charset val="238"/>
      </rPr>
      <t>iZR</t>
    </r>
  </si>
  <si>
    <r>
      <t>∑F</t>
    </r>
    <r>
      <rPr>
        <vertAlign val="subscript"/>
        <sz val="9"/>
        <rFont val="Calibri"/>
        <family val="2"/>
        <charset val="238"/>
      </rPr>
      <t>iZR</t>
    </r>
  </si>
  <si>
    <t>C</t>
  </si>
  <si>
    <r>
      <t>V</t>
    </r>
    <r>
      <rPr>
        <vertAlign val="subscript"/>
        <sz val="9"/>
        <rFont val="Calibri"/>
        <family val="2"/>
        <charset val="238"/>
      </rPr>
      <t>zał</t>
    </r>
  </si>
  <si>
    <r>
      <t>t</t>
    </r>
    <r>
      <rPr>
        <vertAlign val="subscript"/>
        <sz val="9"/>
        <rFont val="Calibri"/>
        <family val="2"/>
        <charset val="238"/>
      </rPr>
      <t>p</t>
    </r>
  </si>
  <si>
    <r>
      <t>∑t</t>
    </r>
    <r>
      <rPr>
        <vertAlign val="subscript"/>
        <sz val="9"/>
        <rFont val="Calibri"/>
        <family val="2"/>
        <charset val="238"/>
      </rPr>
      <t>p</t>
    </r>
  </si>
  <si>
    <r>
      <t>t</t>
    </r>
    <r>
      <rPr>
        <vertAlign val="subscript"/>
        <sz val="9"/>
        <rFont val="Calibri"/>
        <family val="2"/>
        <charset val="238"/>
      </rPr>
      <t>m</t>
    </r>
  </si>
  <si>
    <r>
      <t>q</t>
    </r>
    <r>
      <rPr>
        <vertAlign val="subscript"/>
        <sz val="9"/>
        <rFont val="Calibri"/>
        <family val="2"/>
        <charset val="238"/>
      </rPr>
      <t>m</t>
    </r>
  </si>
  <si>
    <r>
      <t>Q</t>
    </r>
    <r>
      <rPr>
        <vertAlign val="subscript"/>
        <sz val="9"/>
        <rFont val="Calibri"/>
        <family val="2"/>
        <charset val="238"/>
      </rPr>
      <t>d</t>
    </r>
    <r>
      <rPr>
        <sz val="9"/>
        <rFont val="Calibri"/>
        <family val="2"/>
        <charset val="238"/>
      </rPr>
      <t> </t>
    </r>
  </si>
  <si>
    <r>
      <t>i</t>
    </r>
    <r>
      <rPr>
        <vertAlign val="subscript"/>
        <sz val="9"/>
        <rFont val="Calibri"/>
        <family val="2"/>
        <charset val="238"/>
      </rPr>
      <t>t</t>
    </r>
  </si>
  <si>
    <r>
      <t> </t>
    </r>
    <r>
      <rPr>
        <i/>
        <sz val="10"/>
        <color rgb="FF000000"/>
        <rFont val="Calibri"/>
        <family val="2"/>
        <charset val="238"/>
      </rPr>
      <t>ф</t>
    </r>
  </si>
  <si>
    <r>
      <t>i</t>
    </r>
    <r>
      <rPr>
        <vertAlign val="subscript"/>
        <sz val="9"/>
        <rFont val="Calibri"/>
        <family val="2"/>
        <charset val="238"/>
      </rPr>
      <t>kd</t>
    </r>
  </si>
  <si>
    <t>h</t>
  </si>
  <si>
    <r>
      <t>V</t>
    </r>
    <r>
      <rPr>
        <vertAlign val="subscript"/>
        <sz val="9"/>
        <rFont val="Calibri"/>
        <family val="2"/>
        <charset val="238"/>
      </rPr>
      <t>rzecz</t>
    </r>
  </si>
  <si>
    <t>m</t>
  </si>
  <si>
    <t>ha</t>
  </si>
  <si>
    <t>lata</t>
  </si>
  <si>
    <t>m/s</t>
  </si>
  <si>
    <r>
      <t>dm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>/s ha</t>
    </r>
  </si>
  <si>
    <r>
      <t>dm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>/s</t>
    </r>
  </si>
  <si>
    <t>‰</t>
  </si>
  <si>
    <t>cm</t>
  </si>
  <si>
    <t>m npm</t>
  </si>
  <si>
    <t>nr</t>
  </si>
  <si>
    <t>Lp.</t>
  </si>
  <si>
    <t>Kanał boczny</t>
  </si>
  <si>
    <t>odcinka</t>
  </si>
  <si>
    <r>
      <t>l</t>
    </r>
    <r>
      <rPr>
        <vertAlign val="subscript"/>
        <sz val="9"/>
        <rFont val="Calibri"/>
        <family val="2"/>
        <charset val="238"/>
      </rPr>
      <t>i</t>
    </r>
  </si>
  <si>
    <t>c=</t>
  </si>
  <si>
    <t>lat</t>
  </si>
  <si>
    <t xml:space="preserve">OBLICZENIA HYDRAULICZNE SIECI KANALIZACJI DESZCZOWEJ </t>
  </si>
  <si>
    <r>
      <t>Natężenie deszczu q=15,347*A</t>
    </r>
    <r>
      <rPr>
        <sz val="10"/>
        <rFont val="Arial"/>
        <family val="2"/>
        <charset val="238"/>
      </rPr>
      <t>/(t</t>
    </r>
    <r>
      <rPr>
        <vertAlign val="subscript"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)</t>
    </r>
    <r>
      <rPr>
        <vertAlign val="superscript"/>
        <sz val="10"/>
        <rFont val="Arial"/>
        <family val="2"/>
        <charset val="238"/>
      </rPr>
      <t>0,667</t>
    </r>
    <r>
      <rPr>
        <sz val="10"/>
        <rFont val="Arial"/>
        <family val="2"/>
        <charset val="238"/>
      </rPr>
      <t xml:space="preserve"> [l/s*ha]; t</t>
    </r>
    <r>
      <rPr>
        <vertAlign val="subscript"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=1,2*∑t</t>
    </r>
    <r>
      <rPr>
        <vertAlign val="subscript"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>+t</t>
    </r>
    <r>
      <rPr>
        <vertAlign val="subscript"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 </t>
    </r>
    <r>
      <rPr>
        <sz val="10"/>
        <rFont val="Czcionka tekstu podstawowego"/>
        <charset val="238"/>
      </rPr>
      <t>≥</t>
    </r>
    <r>
      <rPr>
        <sz val="10"/>
        <rFont val="Arial"/>
        <family val="2"/>
        <charset val="238"/>
      </rPr>
      <t xml:space="preserve"> 10min</t>
    </r>
  </si>
  <si>
    <r>
      <t xml:space="preserve"> opadów powyżej H</t>
    </r>
    <r>
      <rPr>
        <sz val="10"/>
        <rFont val="Czcionka tekstu podstawowego"/>
        <charset val="238"/>
      </rPr>
      <t>≤</t>
    </r>
    <r>
      <rPr>
        <sz val="10"/>
        <rFont val="Arial CE"/>
        <charset val="238"/>
      </rPr>
      <t>1200</t>
    </r>
  </si>
  <si>
    <t>=</t>
  </si>
  <si>
    <t>5min</t>
  </si>
  <si>
    <t>m2</t>
  </si>
  <si>
    <t>ar(100m2)</t>
  </si>
  <si>
    <t>ha(10000)</t>
  </si>
  <si>
    <t>Wyl - 1</t>
  </si>
  <si>
    <t>Wp - 1</t>
  </si>
  <si>
    <t>-</t>
  </si>
  <si>
    <t>Wp - 2</t>
  </si>
  <si>
    <t>Wp - 3</t>
  </si>
  <si>
    <t>Wp - 4</t>
  </si>
  <si>
    <t>Wp - 5</t>
  </si>
  <si>
    <t>Wp - 6</t>
  </si>
  <si>
    <t>Wp - 7</t>
  </si>
  <si>
    <t>Wp - 8</t>
  </si>
  <si>
    <t>Wp - 9</t>
  </si>
  <si>
    <t>Wp - 10</t>
  </si>
  <si>
    <t>Wp - 11</t>
  </si>
  <si>
    <t>Wp - 12</t>
  </si>
  <si>
    <t>Wp - 13</t>
  </si>
  <si>
    <t>Wp - 14</t>
  </si>
  <si>
    <t>Wp - 15</t>
  </si>
  <si>
    <t>Wp - 16</t>
  </si>
  <si>
    <t>Wp - 17</t>
  </si>
  <si>
    <t>Wp - 18</t>
  </si>
  <si>
    <t>Wp - 19</t>
  </si>
  <si>
    <t>Wp - 20</t>
  </si>
  <si>
    <t>Wyl - 2</t>
  </si>
  <si>
    <t>Wyl - 3</t>
  </si>
  <si>
    <t>Wyl - 4</t>
  </si>
  <si>
    <t>Wyl - 5</t>
  </si>
  <si>
    <t>Wyl - 6</t>
  </si>
  <si>
    <t>Wyl - 7</t>
  </si>
  <si>
    <t>Wyl - 8</t>
  </si>
  <si>
    <t>Wyl - 9</t>
  </si>
  <si>
    <t>Wyl - 10</t>
  </si>
  <si>
    <t>Wyl - 11</t>
  </si>
  <si>
    <t>Wyl - 12</t>
  </si>
  <si>
    <t>Wyl - 13</t>
  </si>
  <si>
    <t>Wyl - 14</t>
  </si>
  <si>
    <t>Wyl - 15</t>
  </si>
  <si>
    <t>Wyl - 16</t>
  </si>
  <si>
    <t>Wyl - 17</t>
  </si>
  <si>
    <t>Wyl - 18</t>
  </si>
  <si>
    <t>Wyl - 19</t>
  </si>
  <si>
    <t>Wyl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</si>
</sst>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14">
    <font>
      <sz val="10"/>
      <name val="Arial CE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0"/>
      <name val="Arial CE"/>
      <charset val="238"/>
    </font>
    <font>
      <sz val="10"/>
      <name val="Czcionka tekstu podstawowego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  <font>
      <vertAlign val="subscript"/>
      <sz val="9"/>
      <name val="Calibri"/>
      <family val="2"/>
      <charset val="238"/>
    </font>
    <font>
      <vertAlign val="superscript"/>
      <sz val="9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/>
    <xf numFmtId="1" fontId="0" fillId="0" borderId="0" xfId="0" applyNumberFormat="1"/>
    <xf numFmtId="9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8" fillId="0" borderId="2" xfId="0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2" fontId="8" fillId="0" borderId="2" xfId="0" applyNumberFormat="1" applyFont="1" applyBorder="1" applyAlignment="1">
      <alignment vertical="center"/>
    </xf>
    <xf numFmtId="0" fontId="0" fillId="0" borderId="0" xfId="0" quotePrefix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8" fillId="0" borderId="5" xfId="0" applyNumberFormat="1" applyFont="1" applyBorder="1" applyAlignment="1">
      <alignment vertical="center"/>
    </xf>
    <xf numFmtId="165" fontId="0" fillId="0" borderId="0" xfId="0" applyNumberFormat="1" applyAlignment="1">
      <alignment textRotation="90"/>
    </xf>
    <xf numFmtId="165" fontId="0" fillId="0" borderId="0" xfId="0" applyNumberFormat="1" applyBorder="1"/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2" fontId="8" fillId="0" borderId="11" xfId="0" applyNumberFormat="1" applyFont="1" applyBorder="1" applyAlignment="1">
      <alignment vertical="center"/>
    </xf>
    <xf numFmtId="165" fontId="8" fillId="0" borderId="12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2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2" fontId="8" fillId="0" borderId="13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2" fontId="0" fillId="0" borderId="12" xfId="0" applyNumberFormat="1" applyBorder="1"/>
    <xf numFmtId="164" fontId="0" fillId="0" borderId="12" xfId="0" applyNumberFormat="1" applyBorder="1"/>
    <xf numFmtId="0" fontId="0" fillId="0" borderId="12" xfId="0" applyBorder="1"/>
    <xf numFmtId="165" fontId="0" fillId="0" borderId="0" xfId="0" applyNumberFormat="1"/>
    <xf numFmtId="165" fontId="1" fillId="0" borderId="0" xfId="0" applyNumberFormat="1" applyFont="1" applyAlignment="1">
      <alignment vertical="center" wrapText="1"/>
    </xf>
    <xf numFmtId="165" fontId="9" fillId="0" borderId="1" xfId="0" applyNumberFormat="1" applyFont="1" applyBorder="1" applyAlignment="1">
      <alignment horizontal="center" vertical="center"/>
    </xf>
    <xf numFmtId="167" fontId="0" fillId="0" borderId="12" xfId="0" applyNumberForma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8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2" fontId="0" fillId="0" borderId="18" xfId="0" applyNumberFormat="1" applyBorder="1" applyAlignment="1">
      <alignment vertical="center"/>
    </xf>
    <xf numFmtId="164" fontId="8" fillId="0" borderId="18" xfId="0" applyNumberFormat="1" applyFon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167" fontId="0" fillId="0" borderId="18" xfId="0" applyNumberFormat="1" applyBorder="1" applyAlignment="1">
      <alignment horizontal="right" vertical="center"/>
    </xf>
    <xf numFmtId="2" fontId="8" fillId="0" borderId="18" xfId="0" applyNumberFormat="1" applyFont="1" applyBorder="1" applyAlignment="1">
      <alignment vertical="center"/>
    </xf>
    <xf numFmtId="2" fontId="0" fillId="0" borderId="18" xfId="0" applyNumberFormat="1" applyBorder="1" applyAlignment="1">
      <alignment horizontal="center" vertical="center"/>
    </xf>
    <xf numFmtId="2" fontId="8" fillId="0" borderId="20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8" xfId="0" applyFont="1" applyBorder="1" applyAlignment="1">
      <alignment vertical="center"/>
    </xf>
    <xf numFmtId="166" fontId="0" fillId="0" borderId="5" xfId="0" applyNumberFormat="1" applyBorder="1" applyAlignment="1">
      <alignment horizontal="right" vertical="center"/>
    </xf>
    <xf numFmtId="167" fontId="0" fillId="0" borderId="5" xfId="0" applyNumberFormat="1" applyBorder="1" applyAlignment="1">
      <alignment horizontal="right" vertical="center"/>
    </xf>
    <xf numFmtId="2" fontId="0" fillId="0" borderId="5" xfId="0" applyNumberFormat="1" applyBorder="1"/>
    <xf numFmtId="164" fontId="0" fillId="0" borderId="5" xfId="0" applyNumberFormat="1" applyBorder="1"/>
    <xf numFmtId="0" fontId="0" fillId="0" borderId="5" xfId="0" applyBorder="1"/>
    <xf numFmtId="166" fontId="0" fillId="0" borderId="18" xfId="0" applyNumberFormat="1" applyBorder="1" applyAlignment="1">
      <alignment horizontal="right" vertical="center"/>
    </xf>
    <xf numFmtId="2" fontId="0" fillId="0" borderId="18" xfId="0" applyNumberFormat="1" applyBorder="1"/>
    <xf numFmtId="164" fontId="0" fillId="0" borderId="18" xfId="0" applyNumberFormat="1" applyBorder="1"/>
    <xf numFmtId="0" fontId="0" fillId="0" borderId="18" xfId="0" applyBorder="1"/>
    <xf numFmtId="0" fontId="0" fillId="0" borderId="21" xfId="0" applyBorder="1" applyAlignment="1">
      <alignment vertical="center"/>
    </xf>
    <xf numFmtId="2" fontId="0" fillId="0" borderId="5" xfId="0" applyNumberFormat="1" applyBorder="1" applyAlignment="1">
      <alignment vertical="center"/>
    </xf>
    <xf numFmtId="167" fontId="0" fillId="0" borderId="5" xfId="0" applyNumberFormat="1" applyBorder="1" applyAlignment="1">
      <alignment vertical="center"/>
    </xf>
    <xf numFmtId="2" fontId="8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2" fontId="0" fillId="0" borderId="8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7" fontId="0" fillId="0" borderId="8" xfId="0" applyNumberFormat="1" applyBorder="1" applyAlignment="1">
      <alignment horizontal="right" vertical="center"/>
    </xf>
    <xf numFmtId="2" fontId="8" fillId="0" borderId="8" xfId="0" applyNumberFormat="1" applyFont="1" applyBorder="1" applyAlignment="1">
      <alignment vertical="center"/>
    </xf>
    <xf numFmtId="2" fontId="0" fillId="0" borderId="8" xfId="0" applyNumberFormat="1" applyBorder="1"/>
    <xf numFmtId="164" fontId="0" fillId="0" borderId="8" xfId="0" applyNumberFormat="1" applyBorder="1"/>
    <xf numFmtId="0" fontId="0" fillId="0" borderId="8" xfId="0" applyBorder="1"/>
    <xf numFmtId="2" fontId="8" fillId="0" borderId="24" xfId="0" applyNumberFormat="1" applyFont="1" applyBorder="1" applyAlignment="1">
      <alignment vertical="center"/>
    </xf>
    <xf numFmtId="2" fontId="0" fillId="0" borderId="12" xfId="0" applyNumberFormat="1" applyBorder="1" applyAlignment="1">
      <alignment vertical="center"/>
    </xf>
    <xf numFmtId="167" fontId="0" fillId="0" borderId="12" xfId="0" applyNumberFormat="1" applyBorder="1" applyAlignment="1">
      <alignment vertical="center"/>
    </xf>
    <xf numFmtId="2" fontId="0" fillId="0" borderId="18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14" xfId="0" applyFont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 textRotation="90"/>
    </xf>
    <xf numFmtId="165" fontId="9" fillId="0" borderId="1" xfId="0" applyNumberFormat="1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90"/>
    </xf>
    <xf numFmtId="0" fontId="9" fillId="0" borderId="10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5DFD-829D-4FE5-B47C-9524B3656465}">
  <dimension ref="A1:AG56"/>
  <sheetViews>
    <sheetView tabSelected="1" topLeftCell="D15" zoomScale="130" zoomScaleNormal="130" workbookViewId="0">
      <selection activeCell="Q40" sqref="Q40"/>
    </sheetView>
  </sheetViews>
  <sheetFormatPr defaultRowHeight="13.2"/>
  <cols>
    <col min="1" max="1" width="4.6640625" customWidth="1"/>
    <col min="2" max="2" width="4.33203125" customWidth="1"/>
    <col min="3" max="4" width="7.109375" bestFit="1" customWidth="1"/>
    <col min="5" max="5" width="8.33203125" style="1" customWidth="1"/>
    <col min="6" max="6" width="7" style="1" customWidth="1"/>
    <col min="7" max="7" width="7.44140625" style="1" customWidth="1"/>
    <col min="8" max="8" width="7.44140625" style="39" customWidth="1"/>
    <col min="9" max="9" width="7.33203125" customWidth="1"/>
    <col min="10" max="10" width="6.6640625" customWidth="1"/>
    <col min="11" max="11" width="7.33203125" customWidth="1"/>
    <col min="12" max="12" width="6" customWidth="1"/>
    <col min="13" max="13" width="8.5546875" customWidth="1"/>
    <col min="14" max="14" width="7.88671875" customWidth="1"/>
    <col min="15" max="15" width="9" customWidth="1"/>
    <col min="16" max="16" width="8.44140625" customWidth="1"/>
    <col min="17" max="17" width="9.88671875" customWidth="1"/>
    <col min="18" max="22" width="7.33203125" customWidth="1"/>
    <col min="23" max="23" width="8.5546875" customWidth="1"/>
    <col min="24" max="24" width="7.44140625" customWidth="1"/>
    <col min="25" max="25" width="9" customWidth="1"/>
    <col min="26" max="26" width="8.109375" customWidth="1"/>
    <col min="27" max="27" width="7.5546875" customWidth="1"/>
    <col min="34" max="34" width="12.44140625" bestFit="1" customWidth="1"/>
  </cols>
  <sheetData>
    <row r="1" spans="1:33">
      <c r="A1" s="106" t="s">
        <v>82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33" ht="12.75" customHeight="1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D2" s="9" t="s">
        <v>16</v>
      </c>
      <c r="AE2" s="3"/>
      <c r="AF2" s="87" t="s">
        <v>12</v>
      </c>
      <c r="AG2" s="87"/>
    </row>
    <row r="3" spans="1:33">
      <c r="A3" s="87" t="s">
        <v>83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Z3" s="88" t="s">
        <v>3</v>
      </c>
      <c r="AA3" s="88"/>
      <c r="AB3" s="88"/>
      <c r="AC3" s="2" t="s">
        <v>1</v>
      </c>
      <c r="AD3" s="10">
        <v>100</v>
      </c>
      <c r="AE3" s="11" t="s">
        <v>2</v>
      </c>
      <c r="AF3" s="87"/>
      <c r="AG3" s="87"/>
    </row>
    <row r="4" spans="1:33" ht="12.75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Z4" s="88" t="s">
        <v>3</v>
      </c>
      <c r="AA4" s="88"/>
      <c r="AB4" s="88"/>
      <c r="AC4" s="2" t="s">
        <v>80</v>
      </c>
      <c r="AD4" s="10">
        <v>1</v>
      </c>
      <c r="AE4" s="11" t="s">
        <v>81</v>
      </c>
      <c r="AF4" s="7"/>
      <c r="AG4" s="7"/>
    </row>
    <row r="5" spans="1:33" ht="15.6">
      <c r="Z5" s="88" t="s">
        <v>4</v>
      </c>
      <c r="AA5" s="88"/>
      <c r="AB5" s="88"/>
      <c r="AC5" s="2" t="s">
        <v>5</v>
      </c>
      <c r="AD5">
        <v>300</v>
      </c>
      <c r="AE5" s="4" t="s">
        <v>13</v>
      </c>
      <c r="AF5" s="17" t="s">
        <v>85</v>
      </c>
      <c r="AG5" s="7" t="s">
        <v>86</v>
      </c>
    </row>
    <row r="6" spans="1:33">
      <c r="Z6" s="88" t="s">
        <v>6</v>
      </c>
      <c r="AA6" s="88"/>
      <c r="AB6" s="88"/>
      <c r="AC6" s="2" t="s">
        <v>7</v>
      </c>
      <c r="AD6">
        <v>550</v>
      </c>
      <c r="AE6" s="4" t="s">
        <v>8</v>
      </c>
    </row>
    <row r="7" spans="1:33">
      <c r="Z7" s="12" t="s">
        <v>9</v>
      </c>
      <c r="AA7" s="13"/>
      <c r="AB7" s="13"/>
      <c r="AC7" s="89" t="s">
        <v>11</v>
      </c>
      <c r="AD7" s="90">
        <v>0.9</v>
      </c>
      <c r="AE7" s="4"/>
    </row>
    <row r="8" spans="1:33">
      <c r="Z8" s="12" t="s">
        <v>10</v>
      </c>
      <c r="AA8" s="13"/>
      <c r="AB8" s="13"/>
      <c r="AC8" s="89"/>
      <c r="AD8" s="90"/>
      <c r="AE8" s="4"/>
    </row>
    <row r="9" spans="1:33">
      <c r="Z9" s="92" t="s">
        <v>15</v>
      </c>
      <c r="AA9" s="92"/>
      <c r="AB9" s="92"/>
      <c r="AC9" s="94" t="s">
        <v>14</v>
      </c>
      <c r="AD9" s="90">
        <v>593</v>
      </c>
      <c r="AE9" s="4"/>
    </row>
    <row r="10" spans="1:33">
      <c r="Z10" s="92" t="s">
        <v>84</v>
      </c>
      <c r="AA10" s="92"/>
      <c r="AB10" s="92"/>
      <c r="AC10" s="94"/>
      <c r="AD10" s="93"/>
      <c r="AE10" s="4"/>
    </row>
    <row r="11" spans="1:33" ht="12.75" customHeight="1" thickBot="1">
      <c r="A11" s="8"/>
      <c r="B11" s="8"/>
      <c r="C11" s="8"/>
      <c r="D11" s="8"/>
      <c r="E11" s="8"/>
      <c r="F11" s="8"/>
      <c r="G11" s="8"/>
      <c r="H11" s="40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9"/>
      <c r="AA11" s="19"/>
      <c r="AB11" s="19"/>
      <c r="AD11" s="5"/>
    </row>
    <row r="12" spans="1:33" ht="12.75" customHeight="1">
      <c r="A12" s="107" t="s">
        <v>17</v>
      </c>
      <c r="B12" s="101"/>
      <c r="C12" s="101"/>
      <c r="D12" s="101"/>
      <c r="E12" s="101"/>
      <c r="F12" s="101"/>
      <c r="G12" s="101" t="s">
        <v>18</v>
      </c>
      <c r="H12" s="101"/>
      <c r="I12" s="101"/>
      <c r="J12" s="101"/>
      <c r="K12" s="101"/>
      <c r="L12" s="101"/>
      <c r="M12" s="101"/>
      <c r="N12" s="101"/>
      <c r="O12" s="101"/>
      <c r="P12" s="101"/>
      <c r="Q12" s="109" t="s">
        <v>19</v>
      </c>
      <c r="R12" s="101" t="s">
        <v>20</v>
      </c>
      <c r="S12" s="101"/>
      <c r="T12" s="101"/>
      <c r="U12" s="101"/>
      <c r="V12" s="101" t="s">
        <v>21</v>
      </c>
      <c r="W12" s="101"/>
      <c r="X12" s="101"/>
      <c r="Y12" s="101"/>
      <c r="Z12" s="99" t="s">
        <v>22</v>
      </c>
      <c r="AA12" s="99"/>
      <c r="AB12" s="101" t="s">
        <v>24</v>
      </c>
      <c r="AC12" s="101"/>
      <c r="AD12" s="99" t="s">
        <v>25</v>
      </c>
      <c r="AE12" s="105"/>
    </row>
    <row r="13" spans="1:33" s="6" customFormat="1" ht="12.75" customHeight="1">
      <c r="A13" s="108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103"/>
      <c r="R13" s="96"/>
      <c r="S13" s="96"/>
      <c r="T13" s="96"/>
      <c r="U13" s="96"/>
      <c r="V13" s="96"/>
      <c r="W13" s="96"/>
      <c r="X13" s="96"/>
      <c r="Y13" s="96"/>
      <c r="Z13" s="97" t="s">
        <v>23</v>
      </c>
      <c r="AA13" s="97"/>
      <c r="AB13" s="96" t="s">
        <v>23</v>
      </c>
      <c r="AC13" s="96"/>
      <c r="AD13" s="97" t="s">
        <v>26</v>
      </c>
      <c r="AE13" s="98"/>
    </row>
    <row r="14" spans="1:33" s="6" customFormat="1" ht="16.5" customHeight="1">
      <c r="A14" s="110" t="s">
        <v>76</v>
      </c>
      <c r="B14" s="103" t="s">
        <v>77</v>
      </c>
      <c r="C14" s="96" t="s">
        <v>0</v>
      </c>
      <c r="D14" s="96"/>
      <c r="E14" s="96" t="s">
        <v>28</v>
      </c>
      <c r="F14" s="96"/>
      <c r="G14" s="95" t="s">
        <v>29</v>
      </c>
      <c r="H14" s="104" t="s">
        <v>30</v>
      </c>
      <c r="I14" s="95" t="s">
        <v>31</v>
      </c>
      <c r="J14" s="95" t="s">
        <v>32</v>
      </c>
      <c r="K14" s="95" t="s">
        <v>33</v>
      </c>
      <c r="L14" s="95" t="s">
        <v>34</v>
      </c>
      <c r="M14" s="95" t="s">
        <v>35</v>
      </c>
      <c r="N14" s="95" t="s">
        <v>36</v>
      </c>
      <c r="O14" s="95" t="s">
        <v>37</v>
      </c>
      <c r="P14" s="95" t="s">
        <v>38</v>
      </c>
      <c r="Q14" s="103"/>
      <c r="R14" s="95" t="s">
        <v>39</v>
      </c>
      <c r="S14" s="95" t="s">
        <v>40</v>
      </c>
      <c r="T14" s="95" t="s">
        <v>41</v>
      </c>
      <c r="U14" s="95" t="s">
        <v>42</v>
      </c>
      <c r="V14" s="96" t="s">
        <v>43</v>
      </c>
      <c r="W14" s="96"/>
      <c r="X14" s="96" t="s">
        <v>44</v>
      </c>
      <c r="Y14" s="96"/>
      <c r="Z14" s="100"/>
      <c r="AA14" s="100"/>
      <c r="AB14" s="102"/>
      <c r="AC14" s="102"/>
      <c r="AD14" s="97" t="s">
        <v>27</v>
      </c>
      <c r="AE14" s="98"/>
    </row>
    <row r="15" spans="1:33" s="6" customFormat="1" ht="91.5" customHeight="1">
      <c r="A15" s="110"/>
      <c r="B15" s="103"/>
      <c r="C15" s="103" t="s">
        <v>48</v>
      </c>
      <c r="D15" s="103" t="s">
        <v>49</v>
      </c>
      <c r="E15" s="23" t="s">
        <v>78</v>
      </c>
      <c r="F15" s="23" t="s">
        <v>45</v>
      </c>
      <c r="G15" s="95"/>
      <c r="H15" s="104"/>
      <c r="I15" s="95"/>
      <c r="J15" s="95"/>
      <c r="K15" s="95"/>
      <c r="L15" s="95"/>
      <c r="M15" s="95"/>
      <c r="N15" s="95"/>
      <c r="O15" s="95"/>
      <c r="P15" s="95"/>
      <c r="Q15" s="103"/>
      <c r="R15" s="95"/>
      <c r="S15" s="95"/>
      <c r="T15" s="95"/>
      <c r="U15" s="95"/>
      <c r="V15" s="95" t="s">
        <v>46</v>
      </c>
      <c r="W15" s="95" t="s">
        <v>47</v>
      </c>
      <c r="X15" s="95" t="s">
        <v>46</v>
      </c>
      <c r="Y15" s="95" t="s">
        <v>47</v>
      </c>
      <c r="Z15" s="95" t="s">
        <v>46</v>
      </c>
      <c r="AA15" s="95" t="s">
        <v>47</v>
      </c>
      <c r="AB15" s="95" t="s">
        <v>46</v>
      </c>
      <c r="AC15" s="95" t="s">
        <v>47</v>
      </c>
      <c r="AD15" s="95" t="s">
        <v>46</v>
      </c>
      <c r="AE15" s="91" t="s">
        <v>47</v>
      </c>
    </row>
    <row r="16" spans="1:33" s="6" customFormat="1" ht="54" customHeight="1">
      <c r="A16" s="110"/>
      <c r="B16" s="103"/>
      <c r="C16" s="103"/>
      <c r="D16" s="103"/>
      <c r="E16" s="24" t="s">
        <v>79</v>
      </c>
      <c r="F16" s="24" t="s">
        <v>50</v>
      </c>
      <c r="G16" s="24" t="s">
        <v>51</v>
      </c>
      <c r="H16" s="41" t="s">
        <v>52</v>
      </c>
      <c r="I16" s="24" t="s">
        <v>53</v>
      </c>
      <c r="J16" s="24" t="s">
        <v>54</v>
      </c>
      <c r="K16" s="24" t="s">
        <v>55</v>
      </c>
      <c r="L16" s="24" t="s">
        <v>56</v>
      </c>
      <c r="M16" s="24" t="s">
        <v>57</v>
      </c>
      <c r="N16" s="24" t="s">
        <v>58</v>
      </c>
      <c r="O16" s="24" t="s">
        <v>59</v>
      </c>
      <c r="P16" s="24" t="s">
        <v>60</v>
      </c>
      <c r="Q16" s="24" t="s">
        <v>61</v>
      </c>
      <c r="R16" s="24" t="s">
        <v>62</v>
      </c>
      <c r="S16" s="24" t="s">
        <v>63</v>
      </c>
      <c r="T16" s="24" t="s">
        <v>64</v>
      </c>
      <c r="U16" s="24" t="s">
        <v>65</v>
      </c>
      <c r="V16" s="95"/>
      <c r="W16" s="95"/>
      <c r="X16" s="95"/>
      <c r="Y16" s="95"/>
      <c r="Z16" s="95"/>
      <c r="AA16" s="95"/>
      <c r="AB16" s="95"/>
      <c r="AC16" s="95"/>
      <c r="AD16" s="95"/>
      <c r="AE16" s="91"/>
    </row>
    <row r="17" spans="1:31" s="6" customFormat="1" ht="14.4" thickBot="1">
      <c r="A17" s="111"/>
      <c r="B17" s="112"/>
      <c r="C17" s="43" t="s">
        <v>75</v>
      </c>
      <c r="D17" s="43" t="s">
        <v>75</v>
      </c>
      <c r="E17" s="43" t="s">
        <v>66</v>
      </c>
      <c r="F17" s="43" t="s">
        <v>66</v>
      </c>
      <c r="G17" s="43" t="s">
        <v>67</v>
      </c>
      <c r="H17" s="44" t="s">
        <v>67</v>
      </c>
      <c r="I17" s="43" t="s">
        <v>67</v>
      </c>
      <c r="J17" s="43" t="s">
        <v>68</v>
      </c>
      <c r="K17" s="43" t="s">
        <v>69</v>
      </c>
      <c r="L17" s="43" t="s">
        <v>13</v>
      </c>
      <c r="M17" s="43" t="s">
        <v>13</v>
      </c>
      <c r="N17" s="43" t="s">
        <v>13</v>
      </c>
      <c r="O17" s="43" t="s">
        <v>70</v>
      </c>
      <c r="P17" s="43" t="s">
        <v>71</v>
      </c>
      <c r="Q17" s="43" t="s">
        <v>72</v>
      </c>
      <c r="R17" s="43" t="s">
        <v>66</v>
      </c>
      <c r="S17" s="43" t="s">
        <v>72</v>
      </c>
      <c r="T17" s="43" t="s">
        <v>73</v>
      </c>
      <c r="U17" s="43" t="s">
        <v>69</v>
      </c>
      <c r="V17" s="43" t="s">
        <v>74</v>
      </c>
      <c r="W17" s="43" t="s">
        <v>74</v>
      </c>
      <c r="X17" s="43" t="s">
        <v>74</v>
      </c>
      <c r="Y17" s="43" t="s">
        <v>74</v>
      </c>
      <c r="Z17" s="43" t="s">
        <v>66</v>
      </c>
      <c r="AA17" s="43" t="s">
        <v>66</v>
      </c>
      <c r="AB17" s="43" t="s">
        <v>66</v>
      </c>
      <c r="AC17" s="43" t="s">
        <v>66</v>
      </c>
      <c r="AD17" s="43" t="s">
        <v>74</v>
      </c>
      <c r="AE17" s="45" t="s">
        <v>74</v>
      </c>
    </row>
    <row r="18" spans="1:31" s="6" customFormat="1" ht="15" thickBot="1">
      <c r="A18" s="46">
        <v>1</v>
      </c>
      <c r="B18" s="47" t="s">
        <v>92</v>
      </c>
      <c r="C18" s="48" t="s">
        <v>91</v>
      </c>
      <c r="D18" s="48" t="s">
        <v>90</v>
      </c>
      <c r="E18" s="49">
        <v>7.2</v>
      </c>
      <c r="F18" s="50">
        <f>E18</f>
        <v>7.2</v>
      </c>
      <c r="G18" s="51">
        <v>3.2000000000000001E-2</v>
      </c>
      <c r="H18" s="52">
        <f>ROUND(G18*$AD$7,3)</f>
        <v>2.9000000000000001E-2</v>
      </c>
      <c r="I18" s="53">
        <f>H18</f>
        <v>2.9000000000000001E-2</v>
      </c>
      <c r="J18" s="47">
        <v>1</v>
      </c>
      <c r="K18" s="50">
        <v>1.5</v>
      </c>
      <c r="L18" s="54">
        <f>E18/(K18)</f>
        <v>4.8</v>
      </c>
      <c r="M18" s="54">
        <f>L18</f>
        <v>4.8</v>
      </c>
      <c r="N18" s="54">
        <f>(1.2*M18)+$AD$5</f>
        <v>305.76</v>
      </c>
      <c r="O18" s="54">
        <f t="shared" ref="O18" si="0">ROUND(15.347*($AD$9/(POWER(N18,0.667))),2)</f>
        <v>200.14</v>
      </c>
      <c r="P18" s="47">
        <f>ROUND((O18*I18),2)</f>
        <v>5.8</v>
      </c>
      <c r="Q18" s="54">
        <f>(V18-W18)*10</f>
        <v>0.79999999999998295</v>
      </c>
      <c r="R18" s="50">
        <v>0.2</v>
      </c>
      <c r="S18" s="47">
        <v>10</v>
      </c>
      <c r="T18" s="50">
        <f>14/S18</f>
        <v>1.4</v>
      </c>
      <c r="U18" s="47">
        <f>0.421*S18</f>
        <v>4.21</v>
      </c>
      <c r="V18" s="55">
        <v>94.52</v>
      </c>
      <c r="W18" s="55">
        <v>94.44</v>
      </c>
      <c r="X18" s="54">
        <v>93.72</v>
      </c>
      <c r="Y18" s="54">
        <f>X18-(E18*(S18/1000))</f>
        <v>93.647999999999996</v>
      </c>
      <c r="Z18" s="54">
        <f>V18-X18</f>
        <v>0.79999999999999716</v>
      </c>
      <c r="AA18" s="54">
        <f>W18-Y18</f>
        <v>0.79200000000000159</v>
      </c>
      <c r="AB18" s="52">
        <f>Z18-R18</f>
        <v>0.5999999999999972</v>
      </c>
      <c r="AC18" s="52">
        <f>AA18-R18</f>
        <v>0.59200000000000164</v>
      </c>
      <c r="AD18" s="54">
        <f>X18+(T18/100)</f>
        <v>93.733999999999995</v>
      </c>
      <c r="AE18" s="56">
        <f>Y18+(T18/100)</f>
        <v>93.661999999999992</v>
      </c>
    </row>
    <row r="19" spans="1:31" s="6" customFormat="1" ht="15" thickBot="1">
      <c r="A19" s="46">
        <v>2</v>
      </c>
      <c r="B19" s="47" t="s">
        <v>92</v>
      </c>
      <c r="C19" s="48" t="s">
        <v>93</v>
      </c>
      <c r="D19" s="48" t="s">
        <v>112</v>
      </c>
      <c r="E19" s="49">
        <v>7.2</v>
      </c>
      <c r="F19" s="50">
        <f t="shared" ref="F19:F37" si="1">E19</f>
        <v>7.2</v>
      </c>
      <c r="G19" s="51">
        <v>4.2599999999999999E-2</v>
      </c>
      <c r="H19" s="52">
        <f t="shared" ref="H19:H31" si="2">ROUND(G19*$AD$7,3)</f>
        <v>3.7999999999999999E-2</v>
      </c>
      <c r="I19" s="53">
        <f t="shared" ref="I19:I37" si="3">H19</f>
        <v>3.7999999999999999E-2</v>
      </c>
      <c r="J19" s="47">
        <v>1</v>
      </c>
      <c r="K19" s="50">
        <v>1.5</v>
      </c>
      <c r="L19" s="54">
        <f>E19/(K19)</f>
        <v>4.8</v>
      </c>
      <c r="M19" s="54">
        <f>M18+L19</f>
        <v>9.6</v>
      </c>
      <c r="N19" s="54">
        <f t="shared" ref="N19:N24" si="4">(1.2*M19)+$AD$5</f>
        <v>311.52</v>
      </c>
      <c r="O19" s="54">
        <f>ROUND(15.347*($AD$9/(POWER(N19,0.667))),2)</f>
        <v>197.66</v>
      </c>
      <c r="P19" s="47">
        <f t="shared" ref="P19:P24" si="5">ROUND((O19*I19),2)</f>
        <v>7.51</v>
      </c>
      <c r="Q19" s="54">
        <f t="shared" ref="Q19:Q37" si="6">(V19-W19)*10</f>
        <v>-0.30000000000001137</v>
      </c>
      <c r="R19" s="50">
        <v>0.2</v>
      </c>
      <c r="S19" s="47">
        <v>10</v>
      </c>
      <c r="T19" s="50">
        <f>14/S19</f>
        <v>1.4</v>
      </c>
      <c r="U19" s="47">
        <f>0.421*S19</f>
        <v>4.21</v>
      </c>
      <c r="V19" s="55">
        <v>94.57</v>
      </c>
      <c r="W19" s="55">
        <v>94.6</v>
      </c>
      <c r="X19" s="54">
        <v>93.77</v>
      </c>
      <c r="Y19" s="54">
        <f>X19-(E19*(S19/1000))</f>
        <v>93.697999999999993</v>
      </c>
      <c r="Z19" s="54">
        <f>V19-X19</f>
        <v>0.79999999999999716</v>
      </c>
      <c r="AA19" s="54">
        <f>W19-Y19</f>
        <v>0.90200000000000102</v>
      </c>
      <c r="AB19" s="52">
        <f>Z19-R19</f>
        <v>0.5999999999999972</v>
      </c>
      <c r="AC19" s="52">
        <f>AA19-R19</f>
        <v>0.70200000000000107</v>
      </c>
      <c r="AD19" s="54">
        <f>X19+(T19/100)</f>
        <v>93.783999999999992</v>
      </c>
      <c r="AE19" s="56">
        <f>Y19+(T19/100)</f>
        <v>93.711999999999989</v>
      </c>
    </row>
    <row r="20" spans="1:31" s="6" customFormat="1" ht="15" thickBot="1">
      <c r="A20" s="46">
        <v>3</v>
      </c>
      <c r="B20" s="47" t="s">
        <v>92</v>
      </c>
      <c r="C20" s="48" t="s">
        <v>94</v>
      </c>
      <c r="D20" s="48" t="s">
        <v>113</v>
      </c>
      <c r="E20" s="49">
        <v>7.2</v>
      </c>
      <c r="F20" s="50">
        <f t="shared" si="1"/>
        <v>7.2</v>
      </c>
      <c r="G20" s="51">
        <v>5.7200000000000001E-2</v>
      </c>
      <c r="H20" s="52">
        <f t="shared" si="2"/>
        <v>5.0999999999999997E-2</v>
      </c>
      <c r="I20" s="53">
        <f t="shared" si="3"/>
        <v>5.0999999999999997E-2</v>
      </c>
      <c r="J20" s="47">
        <v>1</v>
      </c>
      <c r="K20" s="50">
        <v>1.5</v>
      </c>
      <c r="L20" s="54">
        <f t="shared" ref="L20:L30" si="7">E20/(K20)</f>
        <v>4.8</v>
      </c>
      <c r="M20" s="54">
        <f>M19+L20</f>
        <v>14.399999999999999</v>
      </c>
      <c r="N20" s="54">
        <f t="shared" si="4"/>
        <v>317.27999999999997</v>
      </c>
      <c r="O20" s="54">
        <f t="shared" ref="O20:O37" si="8">ROUND(15.347*($AD$9/(POWER(N20,0.667))),2)</f>
        <v>195.26</v>
      </c>
      <c r="P20" s="47">
        <f t="shared" si="5"/>
        <v>9.9600000000000009</v>
      </c>
      <c r="Q20" s="54">
        <f>(V20-W20)*10</f>
        <v>0.10000000000005116</v>
      </c>
      <c r="R20" s="50">
        <v>0.2</v>
      </c>
      <c r="S20" s="47">
        <v>10</v>
      </c>
      <c r="T20" s="50">
        <f>16/S20</f>
        <v>1.6</v>
      </c>
      <c r="U20" s="47">
        <f>0.443*S20</f>
        <v>4.43</v>
      </c>
      <c r="V20" s="55">
        <v>94.51</v>
      </c>
      <c r="W20" s="55">
        <v>94.5</v>
      </c>
      <c r="X20" s="54">
        <v>93.71</v>
      </c>
      <c r="Y20" s="54">
        <f t="shared" ref="Y20" si="9">X20-(E20*(S20/1000))</f>
        <v>93.637999999999991</v>
      </c>
      <c r="Z20" s="54">
        <f t="shared" ref="Z20:Z31" si="10">V20-X20</f>
        <v>0.80000000000001137</v>
      </c>
      <c r="AA20" s="54">
        <f t="shared" ref="AA20:AA31" si="11">W20-Y20</f>
        <v>0.86200000000000898</v>
      </c>
      <c r="AB20" s="52">
        <f t="shared" ref="AB20:AB31" si="12">Z20-R20</f>
        <v>0.60000000000001141</v>
      </c>
      <c r="AC20" s="52">
        <f t="shared" ref="AC20:AC31" si="13">AA20-R20</f>
        <v>0.66200000000000903</v>
      </c>
      <c r="AD20" s="54">
        <f t="shared" ref="AD20:AD31" si="14">X20+(T20/100)</f>
        <v>93.725999999999999</v>
      </c>
      <c r="AE20" s="56">
        <f t="shared" ref="AE20:AE31" si="15">Y20+(T20/100)</f>
        <v>93.653999999999996</v>
      </c>
    </row>
    <row r="21" spans="1:31" s="6" customFormat="1" ht="15" thickBot="1">
      <c r="A21" s="46">
        <v>4</v>
      </c>
      <c r="B21" s="47" t="s">
        <v>92</v>
      </c>
      <c r="C21" s="48" t="s">
        <v>95</v>
      </c>
      <c r="D21" s="48" t="s">
        <v>114</v>
      </c>
      <c r="E21" s="49">
        <v>7.4</v>
      </c>
      <c r="F21" s="50">
        <f t="shared" si="1"/>
        <v>7.4</v>
      </c>
      <c r="G21" s="51">
        <v>3.2300000000000002E-2</v>
      </c>
      <c r="H21" s="52">
        <f t="shared" si="2"/>
        <v>2.9000000000000001E-2</v>
      </c>
      <c r="I21" s="53">
        <f t="shared" si="3"/>
        <v>2.9000000000000001E-2</v>
      </c>
      <c r="J21" s="47">
        <v>1</v>
      </c>
      <c r="K21" s="50">
        <v>1.5</v>
      </c>
      <c r="L21" s="54">
        <f t="shared" si="7"/>
        <v>4.9333333333333336</v>
      </c>
      <c r="M21" s="54">
        <f>M20+L21</f>
        <v>19.333333333333332</v>
      </c>
      <c r="N21" s="54">
        <f t="shared" si="4"/>
        <v>323.2</v>
      </c>
      <c r="O21" s="54">
        <f t="shared" si="8"/>
        <v>192.87</v>
      </c>
      <c r="P21" s="47">
        <f t="shared" si="5"/>
        <v>5.59</v>
      </c>
      <c r="Q21" s="54">
        <f t="shared" si="6"/>
        <v>0.60000000000002274</v>
      </c>
      <c r="R21" s="50">
        <v>0.2</v>
      </c>
      <c r="S21" s="47">
        <v>10</v>
      </c>
      <c r="T21" s="50">
        <f>16/S21</f>
        <v>1.6</v>
      </c>
      <c r="U21" s="47">
        <f>0.443*S21</f>
        <v>4.43</v>
      </c>
      <c r="V21" s="55">
        <v>93.63</v>
      </c>
      <c r="W21" s="55">
        <v>93.57</v>
      </c>
      <c r="X21" s="54">
        <v>92.83</v>
      </c>
      <c r="Y21" s="54">
        <f t="shared" ref="Y21:Y36" si="16">X21-(E21*(S21/1000))</f>
        <v>92.756</v>
      </c>
      <c r="Z21" s="54">
        <f t="shared" si="10"/>
        <v>0.79999999999999716</v>
      </c>
      <c r="AA21" s="54">
        <f t="shared" si="11"/>
        <v>0.81399999999999295</v>
      </c>
      <c r="AB21" s="52">
        <f t="shared" si="12"/>
        <v>0.5999999999999972</v>
      </c>
      <c r="AC21" s="52">
        <f t="shared" si="13"/>
        <v>0.613999999999993</v>
      </c>
      <c r="AD21" s="54">
        <f t="shared" si="14"/>
        <v>92.846000000000004</v>
      </c>
      <c r="AE21" s="56">
        <f t="shared" si="15"/>
        <v>92.772000000000006</v>
      </c>
    </row>
    <row r="22" spans="1:31" s="6" customFormat="1" ht="12.75" customHeight="1" thickBot="1">
      <c r="A22" s="68">
        <v>5</v>
      </c>
      <c r="B22" s="27" t="s">
        <v>92</v>
      </c>
      <c r="C22" s="48" t="s">
        <v>96</v>
      </c>
      <c r="D22" s="48" t="s">
        <v>115</v>
      </c>
      <c r="E22" s="69">
        <v>7.4</v>
      </c>
      <c r="F22" s="50">
        <f t="shared" si="1"/>
        <v>7.4</v>
      </c>
      <c r="G22" s="70">
        <v>3.0700000000000002E-2</v>
      </c>
      <c r="H22" s="25">
        <f t="shared" si="2"/>
        <v>2.8000000000000001E-2</v>
      </c>
      <c r="I22" s="53">
        <f t="shared" si="3"/>
        <v>2.8000000000000001E-2</v>
      </c>
      <c r="J22" s="63">
        <v>1</v>
      </c>
      <c r="K22" s="20">
        <v>1.5</v>
      </c>
      <c r="L22" s="26">
        <f t="shared" si="7"/>
        <v>4.9333333333333336</v>
      </c>
      <c r="M22" s="61">
        <f>M21+L22</f>
        <v>24.266666666666666</v>
      </c>
      <c r="N22" s="26">
        <f t="shared" si="4"/>
        <v>329.12</v>
      </c>
      <c r="O22" s="54">
        <f t="shared" si="8"/>
        <v>190.55</v>
      </c>
      <c r="P22" s="27">
        <f t="shared" si="5"/>
        <v>5.34</v>
      </c>
      <c r="Q22" s="26">
        <f t="shared" si="6"/>
        <v>3.7000000000000455</v>
      </c>
      <c r="R22" s="50">
        <v>0.2</v>
      </c>
      <c r="S22" s="47">
        <v>10</v>
      </c>
      <c r="T22" s="62">
        <f>18/S22</f>
        <v>1.8</v>
      </c>
      <c r="U22" s="63">
        <f>0.464*S22</f>
        <v>4.6400000000000006</v>
      </c>
      <c r="V22" s="55">
        <v>93.87</v>
      </c>
      <c r="W22" s="55">
        <v>93.5</v>
      </c>
      <c r="X22" s="54">
        <v>93.07</v>
      </c>
      <c r="Y22" s="54">
        <f t="shared" si="16"/>
        <v>92.995999999999995</v>
      </c>
      <c r="Z22" s="16">
        <f t="shared" si="10"/>
        <v>0.80000000000001137</v>
      </c>
      <c r="AA22" s="16">
        <f t="shared" si="11"/>
        <v>0.50400000000000489</v>
      </c>
      <c r="AB22" s="15">
        <f t="shared" si="12"/>
        <v>0.60000000000001141</v>
      </c>
      <c r="AC22" s="15">
        <f t="shared" si="13"/>
        <v>0.30400000000000488</v>
      </c>
      <c r="AD22" s="16">
        <f t="shared" si="14"/>
        <v>93.087999999999994</v>
      </c>
      <c r="AE22" s="28">
        <f t="shared" si="15"/>
        <v>93.013999999999996</v>
      </c>
    </row>
    <row r="23" spans="1:31" s="6" customFormat="1" ht="12.75" customHeight="1" thickBot="1">
      <c r="A23" s="46">
        <v>6</v>
      </c>
      <c r="B23" s="47" t="s">
        <v>92</v>
      </c>
      <c r="C23" s="48" t="s">
        <v>97</v>
      </c>
      <c r="D23" s="48" t="s">
        <v>116</v>
      </c>
      <c r="E23" s="49">
        <v>7.4</v>
      </c>
      <c r="F23" s="50">
        <f t="shared" si="1"/>
        <v>7.4</v>
      </c>
      <c r="G23" s="51">
        <v>2.6800000000000001E-2</v>
      </c>
      <c r="H23" s="52">
        <f t="shared" si="2"/>
        <v>2.4E-2</v>
      </c>
      <c r="I23" s="53">
        <f t="shared" si="3"/>
        <v>2.4E-2</v>
      </c>
      <c r="J23" s="47">
        <v>1</v>
      </c>
      <c r="K23" s="50">
        <v>1.5</v>
      </c>
      <c r="L23" s="54">
        <f t="shared" si="7"/>
        <v>4.9333333333333336</v>
      </c>
      <c r="M23" s="65">
        <f>M22+L23</f>
        <v>29.2</v>
      </c>
      <c r="N23" s="54">
        <f t="shared" si="4"/>
        <v>335.04</v>
      </c>
      <c r="O23" s="54">
        <f t="shared" si="8"/>
        <v>188.29</v>
      </c>
      <c r="P23" s="47">
        <f t="shared" si="5"/>
        <v>4.5199999999999996</v>
      </c>
      <c r="Q23" s="54">
        <f t="shared" si="6"/>
        <v>4.2000000000000171</v>
      </c>
      <c r="R23" s="50">
        <v>0.2</v>
      </c>
      <c r="S23" s="47">
        <v>10</v>
      </c>
      <c r="T23" s="66">
        <f>24/S23</f>
        <v>2.4</v>
      </c>
      <c r="U23" s="67">
        <f>0.492*S23</f>
        <v>4.92</v>
      </c>
      <c r="V23" s="55">
        <v>93.92</v>
      </c>
      <c r="W23" s="55">
        <v>93.5</v>
      </c>
      <c r="X23" s="54">
        <v>93.12</v>
      </c>
      <c r="Y23" s="54">
        <f t="shared" si="16"/>
        <v>93.046000000000006</v>
      </c>
      <c r="Z23" s="16">
        <f t="shared" si="10"/>
        <v>0.79999999999999716</v>
      </c>
      <c r="AA23" s="16">
        <f t="shared" si="11"/>
        <v>0.45399999999999352</v>
      </c>
      <c r="AB23" s="15">
        <f t="shared" si="12"/>
        <v>0.5999999999999972</v>
      </c>
      <c r="AC23" s="15">
        <f t="shared" si="13"/>
        <v>0.25399999999999351</v>
      </c>
      <c r="AD23" s="16">
        <f t="shared" si="14"/>
        <v>93.144000000000005</v>
      </c>
      <c r="AE23" s="28">
        <f t="shared" si="15"/>
        <v>93.070000000000007</v>
      </c>
    </row>
    <row r="24" spans="1:31" s="6" customFormat="1" ht="12.75" customHeight="1" thickBot="1">
      <c r="A24" s="68">
        <v>7</v>
      </c>
      <c r="B24" s="27" t="s">
        <v>92</v>
      </c>
      <c r="C24" s="48" t="s">
        <v>98</v>
      </c>
      <c r="D24" s="48" t="s">
        <v>117</v>
      </c>
      <c r="E24" s="69">
        <v>7.3</v>
      </c>
      <c r="F24" s="50">
        <f t="shared" si="1"/>
        <v>7.3</v>
      </c>
      <c r="G24" s="70">
        <v>4.2700000000000002E-2</v>
      </c>
      <c r="H24" s="25">
        <f t="shared" si="2"/>
        <v>3.7999999999999999E-2</v>
      </c>
      <c r="I24" s="53">
        <f t="shared" si="3"/>
        <v>3.7999999999999999E-2</v>
      </c>
      <c r="J24" s="27">
        <v>1</v>
      </c>
      <c r="K24" s="20">
        <v>1.5</v>
      </c>
      <c r="L24" s="26">
        <f t="shared" si="7"/>
        <v>4.8666666666666663</v>
      </c>
      <c r="M24" s="61">
        <f>L24</f>
        <v>4.8666666666666663</v>
      </c>
      <c r="N24" s="26">
        <f t="shared" si="4"/>
        <v>305.83999999999997</v>
      </c>
      <c r="O24" s="54">
        <f t="shared" si="8"/>
        <v>200.1</v>
      </c>
      <c r="P24" s="27">
        <f t="shared" si="5"/>
        <v>7.6</v>
      </c>
      <c r="Q24" s="26">
        <f>(V24-W24)*10</f>
        <v>6.0000000000000853</v>
      </c>
      <c r="R24" s="50">
        <v>0.2</v>
      </c>
      <c r="S24" s="47">
        <v>10</v>
      </c>
      <c r="T24" s="62">
        <f>6/S24</f>
        <v>0.6</v>
      </c>
      <c r="U24" s="63">
        <f>0.265*S24</f>
        <v>2.6500000000000004</v>
      </c>
      <c r="V24" s="55">
        <v>93.7</v>
      </c>
      <c r="W24" s="55">
        <v>93.1</v>
      </c>
      <c r="X24" s="54">
        <v>92.9</v>
      </c>
      <c r="Y24" s="54">
        <f t="shared" si="16"/>
        <v>92.827000000000012</v>
      </c>
      <c r="Z24" s="26">
        <f>V24-X24</f>
        <v>0.79999999999999716</v>
      </c>
      <c r="AA24" s="26">
        <f t="shared" si="11"/>
        <v>0.27299999999998192</v>
      </c>
      <c r="AB24" s="25">
        <f t="shared" si="12"/>
        <v>0.5999999999999972</v>
      </c>
      <c r="AC24" s="25">
        <f t="shared" si="13"/>
        <v>7.2999999999981913E-2</v>
      </c>
      <c r="AD24" s="26">
        <f t="shared" si="14"/>
        <v>92.906000000000006</v>
      </c>
      <c r="AE24" s="71">
        <f t="shared" si="15"/>
        <v>92.833000000000013</v>
      </c>
    </row>
    <row r="25" spans="1:31" s="6" customFormat="1" ht="12.75" customHeight="1" thickBot="1">
      <c r="A25" s="46">
        <v>8</v>
      </c>
      <c r="B25" s="47" t="s">
        <v>92</v>
      </c>
      <c r="C25" s="48" t="s">
        <v>99</v>
      </c>
      <c r="D25" s="48" t="s">
        <v>118</v>
      </c>
      <c r="E25" s="49">
        <v>7.4</v>
      </c>
      <c r="F25" s="50">
        <f t="shared" si="1"/>
        <v>7.4</v>
      </c>
      <c r="G25" s="51">
        <v>3.0300000000000001E-2</v>
      </c>
      <c r="H25" s="52">
        <f t="shared" si="2"/>
        <v>2.7E-2</v>
      </c>
      <c r="I25" s="53">
        <f t="shared" si="3"/>
        <v>2.7E-2</v>
      </c>
      <c r="J25" s="47">
        <v>1</v>
      </c>
      <c r="K25" s="50">
        <v>1.5</v>
      </c>
      <c r="L25" s="54">
        <f t="shared" si="7"/>
        <v>4.9333333333333336</v>
      </c>
      <c r="M25" s="65">
        <f>M24+L25</f>
        <v>9.8000000000000007</v>
      </c>
      <c r="N25" s="54">
        <f>(1.2*M25)+$AD$5</f>
        <v>311.76</v>
      </c>
      <c r="O25" s="54">
        <f t="shared" si="8"/>
        <v>197.56</v>
      </c>
      <c r="P25" s="47">
        <f>ROUND((O25*I25),2)</f>
        <v>5.33</v>
      </c>
      <c r="Q25" s="54">
        <f>(V25-W25)*10</f>
        <v>8.4999999999999432</v>
      </c>
      <c r="R25" s="50">
        <v>0.2</v>
      </c>
      <c r="S25" s="47">
        <v>10</v>
      </c>
      <c r="T25" s="66">
        <f>10/S25</f>
        <v>1</v>
      </c>
      <c r="U25" s="67">
        <f>0.356*S25</f>
        <v>3.5599999999999996</v>
      </c>
      <c r="V25" s="55">
        <v>93.85</v>
      </c>
      <c r="W25" s="55">
        <v>93</v>
      </c>
      <c r="X25" s="54">
        <v>94.2</v>
      </c>
      <c r="Y25" s="54">
        <f t="shared" si="16"/>
        <v>94.126000000000005</v>
      </c>
      <c r="Z25" s="54">
        <f t="shared" si="10"/>
        <v>-0.35000000000000853</v>
      </c>
      <c r="AA25" s="54">
        <f t="shared" si="11"/>
        <v>-1.1260000000000048</v>
      </c>
      <c r="AB25" s="52">
        <f t="shared" si="12"/>
        <v>-0.55000000000000848</v>
      </c>
      <c r="AC25" s="52">
        <f t="shared" si="13"/>
        <v>-1.3260000000000047</v>
      </c>
      <c r="AD25" s="54">
        <f t="shared" si="14"/>
        <v>94.210000000000008</v>
      </c>
      <c r="AE25" s="56">
        <f t="shared" si="15"/>
        <v>94.13600000000001</v>
      </c>
    </row>
    <row r="26" spans="1:31" s="6" customFormat="1" ht="12.75" customHeight="1" thickBot="1">
      <c r="A26" s="72">
        <v>9</v>
      </c>
      <c r="B26" s="58" t="s">
        <v>92</v>
      </c>
      <c r="C26" s="48" t="s">
        <v>100</v>
      </c>
      <c r="D26" s="48" t="s">
        <v>119</v>
      </c>
      <c r="E26" s="73">
        <v>7.3</v>
      </c>
      <c r="F26" s="50">
        <f t="shared" si="1"/>
        <v>7.3</v>
      </c>
      <c r="G26" s="74">
        <v>3.0300000000000001E-2</v>
      </c>
      <c r="H26" s="75">
        <f t="shared" si="2"/>
        <v>2.7E-2</v>
      </c>
      <c r="I26" s="53">
        <f t="shared" si="3"/>
        <v>2.7E-2</v>
      </c>
      <c r="J26" s="58">
        <v>1</v>
      </c>
      <c r="K26" s="34">
        <v>1.5</v>
      </c>
      <c r="L26" s="77">
        <f t="shared" si="7"/>
        <v>4.8666666666666663</v>
      </c>
      <c r="M26" s="78">
        <f>L26</f>
        <v>4.8666666666666663</v>
      </c>
      <c r="N26" s="26">
        <f t="shared" ref="N26:N37" si="17">(1.2*M26)+$AD$5</f>
        <v>305.83999999999997</v>
      </c>
      <c r="O26" s="54">
        <f t="shared" si="8"/>
        <v>200.1</v>
      </c>
      <c r="P26" s="58">
        <f>ROUND((O26*I26),2)</f>
        <v>5.4</v>
      </c>
      <c r="Q26" s="77">
        <f t="shared" si="6"/>
        <v>0.7000000000000739</v>
      </c>
      <c r="R26" s="50">
        <v>0.2</v>
      </c>
      <c r="S26" s="47">
        <v>10</v>
      </c>
      <c r="T26" s="79">
        <f>24/S26</f>
        <v>2.4</v>
      </c>
      <c r="U26" s="80">
        <f>0.562*S26</f>
        <v>5.620000000000001</v>
      </c>
      <c r="V26" s="55">
        <v>93.87</v>
      </c>
      <c r="W26" s="55">
        <v>93.8</v>
      </c>
      <c r="X26" s="54">
        <v>92.07</v>
      </c>
      <c r="Y26" s="54">
        <f t="shared" si="16"/>
        <v>91.997</v>
      </c>
      <c r="Z26" s="77">
        <f t="shared" si="10"/>
        <v>1.8000000000000114</v>
      </c>
      <c r="AA26" s="77">
        <f t="shared" si="11"/>
        <v>1.8029999999999973</v>
      </c>
      <c r="AB26" s="75">
        <f t="shared" si="12"/>
        <v>1.6000000000000114</v>
      </c>
      <c r="AC26" s="75">
        <f t="shared" si="13"/>
        <v>1.6029999999999973</v>
      </c>
      <c r="AD26" s="77">
        <f t="shared" si="14"/>
        <v>92.093999999999994</v>
      </c>
      <c r="AE26" s="81">
        <f t="shared" si="15"/>
        <v>92.021000000000001</v>
      </c>
    </row>
    <row r="27" spans="1:31" s="6" customFormat="1" ht="12.75" customHeight="1" thickBot="1">
      <c r="A27" s="46">
        <v>10</v>
      </c>
      <c r="B27" s="47" t="s">
        <v>92</v>
      </c>
      <c r="C27" s="48" t="s">
        <v>101</v>
      </c>
      <c r="D27" s="48" t="s">
        <v>120</v>
      </c>
      <c r="E27" s="49">
        <v>7.3</v>
      </c>
      <c r="F27" s="50">
        <f t="shared" si="1"/>
        <v>7.3</v>
      </c>
      <c r="G27" s="51">
        <v>2.35E-2</v>
      </c>
      <c r="H27" s="52">
        <f t="shared" si="2"/>
        <v>2.1000000000000001E-2</v>
      </c>
      <c r="I27" s="53">
        <f t="shared" si="3"/>
        <v>2.1000000000000001E-2</v>
      </c>
      <c r="J27" s="47">
        <v>1</v>
      </c>
      <c r="K27" s="50">
        <v>1.5</v>
      </c>
      <c r="L27" s="54">
        <f t="shared" si="7"/>
        <v>4.8666666666666663</v>
      </c>
      <c r="M27" s="65">
        <f>M26+L27</f>
        <v>9.7333333333333325</v>
      </c>
      <c r="N27" s="54">
        <f t="shared" si="17"/>
        <v>311.68</v>
      </c>
      <c r="O27" s="54">
        <f t="shared" si="8"/>
        <v>197.59</v>
      </c>
      <c r="P27" s="47">
        <f>ROUND((O27*I26),2)</f>
        <v>5.33</v>
      </c>
      <c r="Q27" s="54">
        <f t="shared" si="6"/>
        <v>3.9000000000000057</v>
      </c>
      <c r="R27" s="50">
        <v>0.2</v>
      </c>
      <c r="S27" s="47">
        <v>10</v>
      </c>
      <c r="T27" s="66">
        <f>8/S27</f>
        <v>0.8</v>
      </c>
      <c r="U27" s="67">
        <f>0.319*S27</f>
        <v>3.19</v>
      </c>
      <c r="V27" s="55">
        <v>94.21</v>
      </c>
      <c r="W27" s="55">
        <v>93.82</v>
      </c>
      <c r="X27" s="54">
        <v>93.41</v>
      </c>
      <c r="Y27" s="54">
        <f t="shared" si="16"/>
        <v>93.337000000000003</v>
      </c>
      <c r="Z27" s="54">
        <f t="shared" si="10"/>
        <v>0.79999999999999716</v>
      </c>
      <c r="AA27" s="54">
        <f t="shared" si="11"/>
        <v>0.48299999999998988</v>
      </c>
      <c r="AB27" s="52">
        <f t="shared" si="12"/>
        <v>0.5999999999999972</v>
      </c>
      <c r="AC27" s="52">
        <f t="shared" si="13"/>
        <v>0.28299999999998987</v>
      </c>
      <c r="AD27" s="54">
        <f t="shared" si="14"/>
        <v>93.417999999999992</v>
      </c>
      <c r="AE27" s="56">
        <f t="shared" si="15"/>
        <v>93.344999999999999</v>
      </c>
    </row>
    <row r="28" spans="1:31" s="6" customFormat="1" ht="12.75" customHeight="1" thickBot="1">
      <c r="A28" s="68">
        <v>11</v>
      </c>
      <c r="B28" s="27" t="s">
        <v>92</v>
      </c>
      <c r="C28" s="48" t="s">
        <v>102</v>
      </c>
      <c r="D28" s="48" t="s">
        <v>121</v>
      </c>
      <c r="E28" s="69">
        <v>7.16</v>
      </c>
      <c r="F28" s="50">
        <f t="shared" si="1"/>
        <v>7.16</v>
      </c>
      <c r="G28" s="70">
        <v>3.0700000000000002E-2</v>
      </c>
      <c r="H28" s="25">
        <f t="shared" si="2"/>
        <v>2.8000000000000001E-2</v>
      </c>
      <c r="I28" s="53">
        <f t="shared" si="3"/>
        <v>2.8000000000000001E-2</v>
      </c>
      <c r="J28" s="27">
        <v>1</v>
      </c>
      <c r="K28" s="20">
        <v>1.5</v>
      </c>
      <c r="L28" s="26">
        <f t="shared" si="7"/>
        <v>4.7733333333333334</v>
      </c>
      <c r="M28" s="61">
        <f>M27+L28</f>
        <v>14.506666666666666</v>
      </c>
      <c r="N28" s="26">
        <f t="shared" si="17"/>
        <v>317.40800000000002</v>
      </c>
      <c r="O28" s="54">
        <f t="shared" si="8"/>
        <v>195.21</v>
      </c>
      <c r="P28" s="27">
        <f>ROUND((O28*I28),2)</f>
        <v>5.47</v>
      </c>
      <c r="Q28" s="26">
        <f t="shared" si="6"/>
        <v>2.6000000000000512</v>
      </c>
      <c r="R28" s="50">
        <v>0.2</v>
      </c>
      <c r="S28" s="47">
        <v>10</v>
      </c>
      <c r="T28" s="62">
        <f>12/S28</f>
        <v>1.2</v>
      </c>
      <c r="U28" s="63">
        <f>0.389*S28</f>
        <v>3.89</v>
      </c>
      <c r="V28" s="55">
        <v>94.17</v>
      </c>
      <c r="W28" s="55">
        <v>93.91</v>
      </c>
      <c r="X28" s="54">
        <v>93.37</v>
      </c>
      <c r="Y28" s="54">
        <f t="shared" si="16"/>
        <v>93.298400000000001</v>
      </c>
      <c r="Z28" s="26">
        <f t="shared" si="10"/>
        <v>0.79999999999999716</v>
      </c>
      <c r="AA28" s="26">
        <f t="shared" si="11"/>
        <v>0.6115999999999957</v>
      </c>
      <c r="AB28" s="25">
        <f t="shared" si="12"/>
        <v>0.5999999999999972</v>
      </c>
      <c r="AC28" s="25">
        <f t="shared" si="13"/>
        <v>0.41159999999999569</v>
      </c>
      <c r="AD28" s="26">
        <f t="shared" si="14"/>
        <v>93.382000000000005</v>
      </c>
      <c r="AE28" s="71">
        <f t="shared" si="15"/>
        <v>93.310400000000001</v>
      </c>
    </row>
    <row r="29" spans="1:31" s="6" customFormat="1" ht="12.75" customHeight="1" thickBot="1">
      <c r="A29" s="46">
        <v>12</v>
      </c>
      <c r="B29" s="47" t="s">
        <v>92</v>
      </c>
      <c r="C29" s="48" t="s">
        <v>103</v>
      </c>
      <c r="D29" s="48" t="s">
        <v>122</v>
      </c>
      <c r="E29" s="49">
        <v>7.3</v>
      </c>
      <c r="F29" s="50">
        <f t="shared" si="1"/>
        <v>7.3</v>
      </c>
      <c r="G29" s="51">
        <v>3.0200000000000001E-2</v>
      </c>
      <c r="H29" s="52">
        <f t="shared" si="2"/>
        <v>2.7E-2</v>
      </c>
      <c r="I29" s="53">
        <f t="shared" si="3"/>
        <v>2.7E-2</v>
      </c>
      <c r="J29" s="47">
        <v>1</v>
      </c>
      <c r="K29" s="50">
        <v>1.5</v>
      </c>
      <c r="L29" s="54">
        <f>E29/(K29)</f>
        <v>4.8666666666666663</v>
      </c>
      <c r="M29" s="65">
        <f>M28+L29</f>
        <v>19.373333333333331</v>
      </c>
      <c r="N29" s="54">
        <f t="shared" si="17"/>
        <v>323.24799999999999</v>
      </c>
      <c r="O29" s="54">
        <f t="shared" si="8"/>
        <v>192.85</v>
      </c>
      <c r="P29" s="47">
        <f>ROUND((O29*I29),2)</f>
        <v>5.21</v>
      </c>
      <c r="Q29" s="54">
        <f t="shared" si="6"/>
        <v>2.1999999999999886</v>
      </c>
      <c r="R29" s="50">
        <v>0.2</v>
      </c>
      <c r="S29" s="47">
        <v>10</v>
      </c>
      <c r="T29" s="66">
        <f>12/S29</f>
        <v>1.2</v>
      </c>
      <c r="U29" s="67">
        <f>0.389*S29</f>
        <v>3.89</v>
      </c>
      <c r="V29" s="55">
        <v>94.26</v>
      </c>
      <c r="W29" s="55">
        <v>94.04</v>
      </c>
      <c r="X29" s="54">
        <v>93.46</v>
      </c>
      <c r="Y29" s="54">
        <f t="shared" si="16"/>
        <v>93.387</v>
      </c>
      <c r="Z29" s="54">
        <f t="shared" si="10"/>
        <v>0.80000000000001137</v>
      </c>
      <c r="AA29" s="54">
        <f t="shared" si="11"/>
        <v>0.6530000000000058</v>
      </c>
      <c r="AB29" s="52">
        <f t="shared" si="12"/>
        <v>0.60000000000001141</v>
      </c>
      <c r="AC29" s="52">
        <f t="shared" si="13"/>
        <v>0.45300000000000579</v>
      </c>
      <c r="AD29" s="54">
        <f t="shared" si="14"/>
        <v>93.471999999999994</v>
      </c>
      <c r="AE29" s="56">
        <f t="shared" si="15"/>
        <v>93.399000000000001</v>
      </c>
    </row>
    <row r="30" spans="1:31" s="6" customFormat="1" ht="12.75" customHeight="1" thickBot="1">
      <c r="A30" s="35">
        <v>13</v>
      </c>
      <c r="B30" s="14" t="s">
        <v>92</v>
      </c>
      <c r="C30" s="48" t="s">
        <v>104</v>
      </c>
      <c r="D30" s="48" t="s">
        <v>123</v>
      </c>
      <c r="E30" s="82">
        <v>7.3</v>
      </c>
      <c r="F30" s="50">
        <f t="shared" si="1"/>
        <v>7.3</v>
      </c>
      <c r="G30" s="83">
        <v>2.8799999999999999E-2</v>
      </c>
      <c r="H30" s="29">
        <f t="shared" si="2"/>
        <v>2.5999999999999999E-2</v>
      </c>
      <c r="I30" s="53">
        <f t="shared" si="3"/>
        <v>2.5999999999999999E-2</v>
      </c>
      <c r="J30" s="32">
        <v>1</v>
      </c>
      <c r="K30" s="30">
        <v>1.5</v>
      </c>
      <c r="L30" s="31">
        <f t="shared" si="7"/>
        <v>4.8666666666666663</v>
      </c>
      <c r="M30" s="36">
        <f>L30+M29</f>
        <v>24.24</v>
      </c>
      <c r="N30" s="31">
        <f t="shared" si="17"/>
        <v>329.08800000000002</v>
      </c>
      <c r="O30" s="54">
        <f t="shared" si="8"/>
        <v>190.56</v>
      </c>
      <c r="P30" s="32">
        <f>ROUND((O30*I30),2)</f>
        <v>4.95</v>
      </c>
      <c r="Q30" s="31">
        <f t="shared" si="6"/>
        <v>3.2999999999999829</v>
      </c>
      <c r="R30" s="50">
        <v>0.2</v>
      </c>
      <c r="S30" s="47">
        <v>10</v>
      </c>
      <c r="T30" s="37">
        <f>28/S30</f>
        <v>2.8</v>
      </c>
      <c r="U30" s="38">
        <f>0.588*S30</f>
        <v>5.88</v>
      </c>
      <c r="V30" s="55">
        <v>94.19</v>
      </c>
      <c r="W30" s="55">
        <v>93.86</v>
      </c>
      <c r="X30" s="54">
        <v>93.39</v>
      </c>
      <c r="Y30" s="54">
        <f t="shared" si="16"/>
        <v>93.317000000000007</v>
      </c>
      <c r="Z30" s="31">
        <f>V30-X30</f>
        <v>0.79999999999999716</v>
      </c>
      <c r="AA30" s="31">
        <f t="shared" si="11"/>
        <v>0.54299999999999216</v>
      </c>
      <c r="AB30" s="29">
        <f t="shared" si="12"/>
        <v>0.5999999999999972</v>
      </c>
      <c r="AC30" s="29">
        <f t="shared" si="13"/>
        <v>0.34299999999999214</v>
      </c>
      <c r="AD30" s="31">
        <f t="shared" si="14"/>
        <v>93.418000000000006</v>
      </c>
      <c r="AE30" s="33">
        <f t="shared" si="15"/>
        <v>93.345000000000013</v>
      </c>
    </row>
    <row r="31" spans="1:31" s="6" customFormat="1" ht="12.75" customHeight="1" thickBot="1">
      <c r="A31" s="72">
        <v>14</v>
      </c>
      <c r="B31" s="58" t="s">
        <v>92</v>
      </c>
      <c r="C31" s="48" t="s">
        <v>105</v>
      </c>
      <c r="D31" s="48" t="s">
        <v>124</v>
      </c>
      <c r="E31" s="73">
        <v>7.4</v>
      </c>
      <c r="F31" s="50">
        <f t="shared" si="1"/>
        <v>7.4</v>
      </c>
      <c r="G31" s="76">
        <v>3.7100000000000001E-2</v>
      </c>
      <c r="H31" s="75">
        <f t="shared" si="2"/>
        <v>3.3000000000000002E-2</v>
      </c>
      <c r="I31" s="53">
        <f t="shared" si="3"/>
        <v>3.3000000000000002E-2</v>
      </c>
      <c r="J31" s="58">
        <v>1</v>
      </c>
      <c r="K31" s="34">
        <v>1.5</v>
      </c>
      <c r="L31" s="77">
        <f>E31/(K31)</f>
        <v>4.9333333333333336</v>
      </c>
      <c r="M31" s="78">
        <f>L31</f>
        <v>4.9333333333333336</v>
      </c>
      <c r="N31" s="26">
        <f t="shared" si="17"/>
        <v>305.92</v>
      </c>
      <c r="O31" s="54">
        <f t="shared" si="8"/>
        <v>200.07</v>
      </c>
      <c r="P31" s="58">
        <f>ROUND((O31*I31),2)</f>
        <v>6.6</v>
      </c>
      <c r="Q31" s="77">
        <f t="shared" si="6"/>
        <v>4.5999999999999375</v>
      </c>
      <c r="R31" s="50">
        <v>0.2</v>
      </c>
      <c r="S31" s="47">
        <v>10</v>
      </c>
      <c r="T31" s="79">
        <f>28/S31</f>
        <v>2.8</v>
      </c>
      <c r="U31" s="80">
        <f>0.588*S31</f>
        <v>5.88</v>
      </c>
      <c r="V31" s="55">
        <v>94.16</v>
      </c>
      <c r="W31" s="55">
        <v>93.7</v>
      </c>
      <c r="X31" s="54">
        <v>93.36</v>
      </c>
      <c r="Y31" s="54">
        <f t="shared" si="16"/>
        <v>93.286000000000001</v>
      </c>
      <c r="Z31" s="77">
        <f t="shared" si="10"/>
        <v>0.79999999999999716</v>
      </c>
      <c r="AA31" s="77">
        <f t="shared" si="11"/>
        <v>0.41400000000000148</v>
      </c>
      <c r="AB31" s="75">
        <f t="shared" si="12"/>
        <v>0.5999999999999972</v>
      </c>
      <c r="AC31" s="75">
        <f t="shared" si="13"/>
        <v>0.21400000000000147</v>
      </c>
      <c r="AD31" s="77">
        <f t="shared" si="14"/>
        <v>93.388000000000005</v>
      </c>
      <c r="AE31" s="81">
        <f t="shared" si="15"/>
        <v>93.314000000000007</v>
      </c>
    </row>
    <row r="32" spans="1:31" s="6" customFormat="1" ht="15" thickBot="1">
      <c r="A32" s="46">
        <v>15</v>
      </c>
      <c r="B32" s="47" t="s">
        <v>92</v>
      </c>
      <c r="C32" s="48" t="s">
        <v>106</v>
      </c>
      <c r="D32" s="48" t="s">
        <v>125</v>
      </c>
      <c r="E32" s="84">
        <v>7.2</v>
      </c>
      <c r="F32" s="50">
        <f t="shared" si="1"/>
        <v>7.2</v>
      </c>
      <c r="G32" s="53">
        <v>3.5200000000000002E-2</v>
      </c>
      <c r="H32" s="52">
        <f t="shared" ref="H32:H37" si="18">ROUND(G32*$AD$7,3)</f>
        <v>3.2000000000000001E-2</v>
      </c>
      <c r="I32" s="53">
        <f t="shared" si="3"/>
        <v>3.2000000000000001E-2</v>
      </c>
      <c r="J32" s="47">
        <v>1</v>
      </c>
      <c r="K32" s="50">
        <v>1.5</v>
      </c>
      <c r="L32" s="54">
        <f t="shared" ref="L32:L37" si="19">E32/(K32)</f>
        <v>4.8</v>
      </c>
      <c r="M32" s="65">
        <f>L32+M31</f>
        <v>9.7333333333333343</v>
      </c>
      <c r="N32" s="54">
        <f t="shared" si="17"/>
        <v>311.68</v>
      </c>
      <c r="O32" s="54">
        <f t="shared" si="8"/>
        <v>197.59</v>
      </c>
      <c r="P32" s="47">
        <f t="shared" ref="P32:P37" si="20">ROUND((O32*I32),2)</f>
        <v>6.32</v>
      </c>
      <c r="Q32" s="54">
        <f t="shared" si="6"/>
        <v>-3.2000000000000739</v>
      </c>
      <c r="R32" s="50">
        <v>0.2</v>
      </c>
      <c r="S32" s="47">
        <v>10</v>
      </c>
      <c r="T32" s="66">
        <f t="shared" ref="T32:T37" si="21">28/S32</f>
        <v>2.8</v>
      </c>
      <c r="U32" s="67">
        <f t="shared" ref="U32:U37" si="22">0.588*S32</f>
        <v>5.88</v>
      </c>
      <c r="V32" s="55">
        <v>94.22</v>
      </c>
      <c r="W32" s="55">
        <v>94.54</v>
      </c>
      <c r="X32" s="54">
        <v>93.42</v>
      </c>
      <c r="Y32" s="54">
        <f t="shared" si="16"/>
        <v>93.347999999999999</v>
      </c>
      <c r="Z32" s="54">
        <f t="shared" ref="Z32" si="23">V32-X32</f>
        <v>0.79999999999999716</v>
      </c>
      <c r="AA32" s="54">
        <f t="shared" ref="AA32" si="24">W32-Y32</f>
        <v>1.1920000000000073</v>
      </c>
      <c r="AB32" s="52">
        <f t="shared" ref="AB32" si="25">Z32-R32</f>
        <v>0.5999999999999972</v>
      </c>
      <c r="AC32" s="52">
        <f t="shared" ref="AC32" si="26">AA32-R32</f>
        <v>0.99200000000000732</v>
      </c>
      <c r="AD32" s="54">
        <f t="shared" ref="AD32:AD37" si="27">X32+(T32/100)</f>
        <v>93.448000000000008</v>
      </c>
      <c r="AE32" s="56">
        <f t="shared" ref="AE32:AE37" si="28">Y32+(T32/100)</f>
        <v>93.376000000000005</v>
      </c>
    </row>
    <row r="33" spans="1:31" s="6" customFormat="1" ht="15" thickBot="1">
      <c r="A33" s="68">
        <v>16</v>
      </c>
      <c r="B33" s="27" t="s">
        <v>92</v>
      </c>
      <c r="C33" s="48" t="s">
        <v>107</v>
      </c>
      <c r="D33" s="48" t="s">
        <v>126</v>
      </c>
      <c r="E33" s="85">
        <v>3.4</v>
      </c>
      <c r="F33" s="50">
        <f t="shared" si="1"/>
        <v>3.4</v>
      </c>
      <c r="G33" s="60">
        <v>2.1399999999999999E-2</v>
      </c>
      <c r="H33" s="25">
        <f t="shared" si="18"/>
        <v>1.9E-2</v>
      </c>
      <c r="I33" s="53">
        <f t="shared" si="3"/>
        <v>1.9E-2</v>
      </c>
      <c r="J33" s="27">
        <v>1</v>
      </c>
      <c r="K33" s="20">
        <v>1.5</v>
      </c>
      <c r="L33" s="26">
        <f t="shared" si="19"/>
        <v>2.2666666666666666</v>
      </c>
      <c r="M33" s="61">
        <f>M32+L33</f>
        <v>12</v>
      </c>
      <c r="N33" s="26">
        <f t="shared" si="17"/>
        <v>314.39999999999998</v>
      </c>
      <c r="O33" s="54">
        <f t="shared" si="8"/>
        <v>196.45</v>
      </c>
      <c r="P33" s="27">
        <f t="shared" si="20"/>
        <v>3.73</v>
      </c>
      <c r="Q33" s="26">
        <f t="shared" si="6"/>
        <v>-1.4999999999999147</v>
      </c>
      <c r="R33" s="50">
        <v>0.2</v>
      </c>
      <c r="S33" s="47">
        <v>10</v>
      </c>
      <c r="T33" s="62">
        <f t="shared" si="21"/>
        <v>2.8</v>
      </c>
      <c r="U33" s="63">
        <f t="shared" si="22"/>
        <v>5.88</v>
      </c>
      <c r="V33" s="55">
        <v>94.2</v>
      </c>
      <c r="W33" s="55">
        <v>94.35</v>
      </c>
      <c r="X33" s="54">
        <v>93.42</v>
      </c>
      <c r="Y33" s="54">
        <f t="shared" si="16"/>
        <v>93.385999999999996</v>
      </c>
      <c r="Z33" s="26">
        <f t="shared" ref="Z33" si="29">V33-X33</f>
        <v>0.78000000000000114</v>
      </c>
      <c r="AA33" s="26">
        <f t="shared" ref="AA33" si="30">W33-Y33</f>
        <v>0.96399999999999864</v>
      </c>
      <c r="AB33" s="25">
        <f t="shared" ref="AB33" si="31">Z33-R33</f>
        <v>0.58000000000000118</v>
      </c>
      <c r="AC33" s="25">
        <f t="shared" ref="AC33" si="32">AA33-R33</f>
        <v>0.76399999999999868</v>
      </c>
      <c r="AD33" s="26">
        <f t="shared" si="27"/>
        <v>93.448000000000008</v>
      </c>
      <c r="AE33" s="71">
        <f t="shared" si="28"/>
        <v>93.414000000000001</v>
      </c>
    </row>
    <row r="34" spans="1:31" s="6" customFormat="1" ht="15" thickBot="1">
      <c r="A34" s="46">
        <v>17</v>
      </c>
      <c r="B34" s="47" t="s">
        <v>92</v>
      </c>
      <c r="C34" s="48" t="s">
        <v>108</v>
      </c>
      <c r="D34" s="48" t="s">
        <v>127</v>
      </c>
      <c r="E34" s="84">
        <v>7.4</v>
      </c>
      <c r="F34" s="50">
        <f t="shared" si="1"/>
        <v>7.4</v>
      </c>
      <c r="G34" s="53">
        <v>2.6700000000000002E-2</v>
      </c>
      <c r="H34" s="52">
        <f t="shared" si="18"/>
        <v>2.4E-2</v>
      </c>
      <c r="I34" s="53">
        <f t="shared" si="3"/>
        <v>2.4E-2</v>
      </c>
      <c r="J34" s="47">
        <v>1</v>
      </c>
      <c r="K34" s="50">
        <v>1.5</v>
      </c>
      <c r="L34" s="54">
        <f t="shared" si="19"/>
        <v>4.9333333333333336</v>
      </c>
      <c r="M34" s="65">
        <f>M33+L34</f>
        <v>16.933333333333334</v>
      </c>
      <c r="N34" s="54">
        <f t="shared" si="17"/>
        <v>320.32</v>
      </c>
      <c r="O34" s="54">
        <f t="shared" si="8"/>
        <v>194.02</v>
      </c>
      <c r="P34" s="47">
        <f t="shared" si="20"/>
        <v>4.66</v>
      </c>
      <c r="Q34" s="54">
        <f t="shared" si="6"/>
        <v>-9.9999999999909051E-2</v>
      </c>
      <c r="R34" s="50">
        <v>0.2</v>
      </c>
      <c r="S34" s="47">
        <v>10</v>
      </c>
      <c r="T34" s="66">
        <f t="shared" si="21"/>
        <v>2.8</v>
      </c>
      <c r="U34" s="67">
        <f t="shared" si="22"/>
        <v>5.88</v>
      </c>
      <c r="V34" s="55">
        <v>94.2</v>
      </c>
      <c r="W34" s="55">
        <v>94.21</v>
      </c>
      <c r="X34" s="54">
        <v>93.4</v>
      </c>
      <c r="Y34" s="54">
        <f t="shared" si="16"/>
        <v>93.326000000000008</v>
      </c>
      <c r="Z34" s="54">
        <f t="shared" ref="Z34" si="33">V34-X34</f>
        <v>0.79999999999999716</v>
      </c>
      <c r="AA34" s="54">
        <f t="shared" ref="AA34" si="34">W34-Y34</f>
        <v>0.88399999999998613</v>
      </c>
      <c r="AB34" s="52">
        <f t="shared" ref="AB34" si="35">Z34-R34</f>
        <v>0.5999999999999972</v>
      </c>
      <c r="AC34" s="52">
        <f t="shared" ref="AC34" si="36">AA34-R34</f>
        <v>0.68399999999998617</v>
      </c>
      <c r="AD34" s="54">
        <f t="shared" si="27"/>
        <v>93.428000000000011</v>
      </c>
      <c r="AE34" s="56">
        <f t="shared" si="28"/>
        <v>93.354000000000013</v>
      </c>
    </row>
    <row r="35" spans="1:31" s="6" customFormat="1" ht="15" thickBot="1">
      <c r="A35" s="35">
        <v>18</v>
      </c>
      <c r="B35" s="14" t="s">
        <v>92</v>
      </c>
      <c r="C35" s="48" t="s">
        <v>109</v>
      </c>
      <c r="D35" s="48" t="s">
        <v>128</v>
      </c>
      <c r="E35" s="86">
        <v>7.4</v>
      </c>
      <c r="F35" s="50">
        <f t="shared" si="1"/>
        <v>7.4</v>
      </c>
      <c r="G35" s="42">
        <v>2.75E-2</v>
      </c>
      <c r="H35" s="29">
        <f t="shared" si="18"/>
        <v>2.5000000000000001E-2</v>
      </c>
      <c r="I35" s="53">
        <f t="shared" si="3"/>
        <v>2.5000000000000001E-2</v>
      </c>
      <c r="J35" s="32">
        <v>1</v>
      </c>
      <c r="K35" s="30">
        <v>1.5</v>
      </c>
      <c r="L35" s="31">
        <f t="shared" si="19"/>
        <v>4.9333333333333336</v>
      </c>
      <c r="M35" s="36">
        <f>L35+M34</f>
        <v>21.866666666666667</v>
      </c>
      <c r="N35" s="31">
        <f t="shared" si="17"/>
        <v>326.24</v>
      </c>
      <c r="O35" s="54">
        <f t="shared" si="8"/>
        <v>191.67</v>
      </c>
      <c r="P35" s="32">
        <f t="shared" si="20"/>
        <v>4.79</v>
      </c>
      <c r="Q35" s="31">
        <f t="shared" si="6"/>
        <v>2.1999999999999886</v>
      </c>
      <c r="R35" s="50">
        <v>0.2</v>
      </c>
      <c r="S35" s="47">
        <v>10</v>
      </c>
      <c r="T35" s="37">
        <f t="shared" si="21"/>
        <v>2.8</v>
      </c>
      <c r="U35" s="38">
        <f t="shared" si="22"/>
        <v>5.88</v>
      </c>
      <c r="V35" s="55">
        <v>94.22</v>
      </c>
      <c r="W35" s="55">
        <v>94</v>
      </c>
      <c r="X35" s="54">
        <v>93.42</v>
      </c>
      <c r="Y35" s="54">
        <f t="shared" si="16"/>
        <v>93.346000000000004</v>
      </c>
      <c r="Z35" s="31">
        <f t="shared" ref="Z35" si="37">V35-X35</f>
        <v>0.79999999999999716</v>
      </c>
      <c r="AA35" s="31">
        <f t="shared" ref="AA35" si="38">W35-Y35</f>
        <v>0.65399999999999636</v>
      </c>
      <c r="AB35" s="29">
        <f t="shared" ref="AB35" si="39">Z35-R35</f>
        <v>0.5999999999999972</v>
      </c>
      <c r="AC35" s="29">
        <f t="shared" ref="AC35" si="40">AA35-R35</f>
        <v>0.45399999999999635</v>
      </c>
      <c r="AD35" s="31">
        <f t="shared" si="27"/>
        <v>93.448000000000008</v>
      </c>
      <c r="AE35" s="33">
        <f t="shared" si="28"/>
        <v>93.374000000000009</v>
      </c>
    </row>
    <row r="36" spans="1:31" s="6" customFormat="1" ht="15" thickBot="1">
      <c r="A36" s="57">
        <v>19</v>
      </c>
      <c r="B36" s="58" t="s">
        <v>92</v>
      </c>
      <c r="C36" s="48" t="s">
        <v>110</v>
      </c>
      <c r="D36" s="48" t="s">
        <v>129</v>
      </c>
      <c r="E36" s="85">
        <v>7.4</v>
      </c>
      <c r="F36" s="50">
        <f t="shared" si="1"/>
        <v>7.4</v>
      </c>
      <c r="G36" s="59">
        <v>2.63E-2</v>
      </c>
      <c r="H36" s="25">
        <f t="shared" si="18"/>
        <v>2.4E-2</v>
      </c>
      <c r="I36" s="53">
        <f t="shared" si="3"/>
        <v>2.4E-2</v>
      </c>
      <c r="J36" s="27">
        <v>1</v>
      </c>
      <c r="K36" s="20">
        <v>1.5</v>
      </c>
      <c r="L36" s="26">
        <f t="shared" si="19"/>
        <v>4.9333333333333336</v>
      </c>
      <c r="M36" s="61">
        <f>L36</f>
        <v>4.9333333333333336</v>
      </c>
      <c r="N36" s="26">
        <f t="shared" si="17"/>
        <v>305.92</v>
      </c>
      <c r="O36" s="54">
        <f t="shared" si="8"/>
        <v>200.07</v>
      </c>
      <c r="P36" s="27">
        <f t="shared" si="20"/>
        <v>4.8</v>
      </c>
      <c r="Q36" s="26">
        <f>(V36-W36)*10</f>
        <v>0</v>
      </c>
      <c r="R36" s="50">
        <v>0.2</v>
      </c>
      <c r="S36" s="47">
        <v>10</v>
      </c>
      <c r="T36" s="62">
        <f t="shared" si="21"/>
        <v>2.8</v>
      </c>
      <c r="U36" s="63">
        <f t="shared" si="22"/>
        <v>5.88</v>
      </c>
      <c r="V36" s="55">
        <v>94</v>
      </c>
      <c r="W36" s="55">
        <v>94</v>
      </c>
      <c r="X36" s="54">
        <v>93.2</v>
      </c>
      <c r="Y36" s="54">
        <f t="shared" si="16"/>
        <v>93.126000000000005</v>
      </c>
      <c r="Z36" s="26">
        <f t="shared" ref="Z36" si="41">V36-X36</f>
        <v>0.79999999999999716</v>
      </c>
      <c r="AA36" s="26">
        <f t="shared" ref="AA36" si="42">W36-Y36</f>
        <v>0.87399999999999523</v>
      </c>
      <c r="AB36" s="25">
        <f t="shared" ref="AB36" si="43">Z36-R36</f>
        <v>0.5999999999999972</v>
      </c>
      <c r="AC36" s="25">
        <f t="shared" ref="AC36" si="44">AA36-R36</f>
        <v>0.67399999999999527</v>
      </c>
      <c r="AD36" s="26">
        <f t="shared" si="27"/>
        <v>93.228000000000009</v>
      </c>
      <c r="AE36" s="26">
        <f t="shared" si="28"/>
        <v>93.154000000000011</v>
      </c>
    </row>
    <row r="37" spans="1:31" s="6" customFormat="1" ht="15" thickBot="1">
      <c r="A37" s="46">
        <v>20</v>
      </c>
      <c r="B37" s="47" t="s">
        <v>92</v>
      </c>
      <c r="C37" s="48" t="s">
        <v>111</v>
      </c>
      <c r="D37" s="48" t="s">
        <v>130</v>
      </c>
      <c r="E37" s="84">
        <v>7.4</v>
      </c>
      <c r="F37" s="50">
        <f t="shared" si="1"/>
        <v>7.4</v>
      </c>
      <c r="G37" s="64">
        <f>0.0574-0.0124</f>
        <v>4.4999999999999998E-2</v>
      </c>
      <c r="H37" s="52">
        <f t="shared" si="18"/>
        <v>4.1000000000000002E-2</v>
      </c>
      <c r="I37" s="53">
        <f t="shared" si="3"/>
        <v>4.1000000000000002E-2</v>
      </c>
      <c r="J37" s="47">
        <v>1</v>
      </c>
      <c r="K37" s="50">
        <v>1.5</v>
      </c>
      <c r="L37" s="54">
        <f t="shared" si="19"/>
        <v>4.9333333333333336</v>
      </c>
      <c r="M37" s="65">
        <f>M36+L37</f>
        <v>9.8666666666666671</v>
      </c>
      <c r="N37" s="54">
        <f t="shared" si="17"/>
        <v>311.83999999999997</v>
      </c>
      <c r="O37" s="54">
        <f t="shared" si="8"/>
        <v>197.53</v>
      </c>
      <c r="P37" s="47">
        <f t="shared" si="20"/>
        <v>8.1</v>
      </c>
      <c r="Q37" s="54">
        <f t="shared" si="6"/>
        <v>0.99999999999994316</v>
      </c>
      <c r="R37" s="50">
        <v>0.2</v>
      </c>
      <c r="S37" s="47">
        <v>10</v>
      </c>
      <c r="T37" s="66">
        <f t="shared" si="21"/>
        <v>2.8</v>
      </c>
      <c r="U37" s="67">
        <f t="shared" si="22"/>
        <v>5.88</v>
      </c>
      <c r="V37" s="55">
        <v>94.3</v>
      </c>
      <c r="W37" s="55">
        <v>94.2</v>
      </c>
      <c r="X37" s="54">
        <v>93.5</v>
      </c>
      <c r="Y37" s="54">
        <f t="shared" ref="Y37" si="45">X37-(E37*(S37/1000))</f>
        <v>93.426000000000002</v>
      </c>
      <c r="Z37" s="54">
        <f t="shared" ref="Z37" si="46">V37-X37</f>
        <v>0.79999999999999716</v>
      </c>
      <c r="AA37" s="54">
        <f t="shared" ref="AA37" si="47">W37-Y37</f>
        <v>0.77400000000000091</v>
      </c>
      <c r="AB37" s="52">
        <f t="shared" ref="AB37" si="48">Z37-R37</f>
        <v>0.5999999999999972</v>
      </c>
      <c r="AC37" s="52">
        <f t="shared" ref="AC37" si="49">AA37-R37</f>
        <v>0.57400000000000095</v>
      </c>
      <c r="AD37" s="54">
        <f t="shared" si="27"/>
        <v>93.528000000000006</v>
      </c>
      <c r="AE37" s="56">
        <f t="shared" si="28"/>
        <v>93.454000000000008</v>
      </c>
    </row>
    <row r="38" spans="1:31">
      <c r="I38" s="5"/>
      <c r="M38" s="18"/>
      <c r="O38" s="6"/>
      <c r="P38" s="6"/>
      <c r="Q38" s="6"/>
    </row>
    <row r="39" spans="1:31">
      <c r="I39" s="5"/>
      <c r="M39" s="18"/>
      <c r="O39" s="6"/>
      <c r="P39" s="6">
        <f>SUM(P18:P26)</f>
        <v>57.05</v>
      </c>
      <c r="Q39" s="6">
        <f>P39/1000</f>
        <v>5.7049999999999997E-2</v>
      </c>
    </row>
    <row r="40" spans="1:31">
      <c r="I40" s="5"/>
      <c r="M40" s="18"/>
      <c r="O40" s="6"/>
      <c r="P40" s="6">
        <f>SUM(P28:P37)</f>
        <v>54.629999999999995</v>
      </c>
      <c r="Q40" s="6">
        <f>P40/1000</f>
        <v>5.4629999999999998E-2</v>
      </c>
    </row>
    <row r="41" spans="1:31">
      <c r="I41" s="5">
        <v>733.15</v>
      </c>
      <c r="M41" s="18"/>
      <c r="O41" s="6"/>
      <c r="P41" s="6"/>
      <c r="Q41" s="6"/>
    </row>
    <row r="42" spans="1:31">
      <c r="G42" s="21"/>
      <c r="I42" s="22">
        <f>I41-40.46</f>
        <v>692.68999999999994</v>
      </c>
      <c r="M42" s="18"/>
      <c r="N42" t="s">
        <v>87</v>
      </c>
      <c r="O42" s="6" t="s">
        <v>88</v>
      </c>
      <c r="P42" s="6" t="s">
        <v>89</v>
      </c>
      <c r="Q42" s="6"/>
    </row>
    <row r="43" spans="1:31">
      <c r="N43">
        <v>320</v>
      </c>
      <c r="O43">
        <f>N43/100</f>
        <v>3.2</v>
      </c>
      <c r="P43">
        <f>N43/10000</f>
        <v>3.2000000000000001E-2</v>
      </c>
    </row>
    <row r="44" spans="1:31">
      <c r="N44">
        <v>223</v>
      </c>
      <c r="O44">
        <f>N44/100</f>
        <v>2.23</v>
      </c>
      <c r="P44">
        <f>N44/10000</f>
        <v>2.23E-2</v>
      </c>
      <c r="Q44">
        <f>P44/2</f>
        <v>1.115E-2</v>
      </c>
    </row>
    <row r="46" spans="1:31">
      <c r="N46">
        <v>1382.78</v>
      </c>
      <c r="O46">
        <f>N46/100</f>
        <v>13.8278</v>
      </c>
      <c r="P46">
        <f>N46/10000</f>
        <v>0.13827799999999998</v>
      </c>
    </row>
    <row r="47" spans="1:31">
      <c r="P47">
        <f>P46/7</f>
        <v>1.9753999999999997E-2</v>
      </c>
    </row>
    <row r="50" spans="14:17">
      <c r="N50">
        <v>1880</v>
      </c>
      <c r="O50">
        <f>N50/100</f>
        <v>18.8</v>
      </c>
      <c r="P50">
        <f>N50/10000</f>
        <v>0.188</v>
      </c>
      <c r="Q50">
        <f>P50/4</f>
        <v>4.7E-2</v>
      </c>
    </row>
    <row r="52" spans="14:17">
      <c r="N52">
        <v>823.63</v>
      </c>
      <c r="O52">
        <f>N52/100</f>
        <v>8.2363</v>
      </c>
      <c r="P52">
        <f>N52/10000</f>
        <v>8.2363000000000006E-2</v>
      </c>
      <c r="Q52">
        <f>P52/3</f>
        <v>2.7454333333333334E-2</v>
      </c>
    </row>
    <row r="54" spans="14:17">
      <c r="N54">
        <v>327.96</v>
      </c>
      <c r="O54">
        <f>N54/100</f>
        <v>3.2795999999999998</v>
      </c>
      <c r="P54">
        <f>N54/10000</f>
        <v>3.2795999999999999E-2</v>
      </c>
    </row>
    <row r="56" spans="14:17">
      <c r="N56">
        <f>2997.73*2</f>
        <v>5995.46</v>
      </c>
      <c r="O56">
        <f>N56/100</f>
        <v>59.954599999999999</v>
      </c>
      <c r="P56">
        <f>N56/10000</f>
        <v>0.59954600000000002</v>
      </c>
      <c r="Q56">
        <f>P56/22</f>
        <v>2.725209090909091E-2</v>
      </c>
    </row>
  </sheetData>
  <mergeCells count="59">
    <mergeCell ref="AD12:AE12"/>
    <mergeCell ref="AD13:AE13"/>
    <mergeCell ref="J14:J15"/>
    <mergeCell ref="K14:K15"/>
    <mergeCell ref="A1:AB2"/>
    <mergeCell ref="A12:F13"/>
    <mergeCell ref="G12:P13"/>
    <mergeCell ref="Q12:Q15"/>
    <mergeCell ref="R12:U13"/>
    <mergeCell ref="V12:Y13"/>
    <mergeCell ref="V15:V16"/>
    <mergeCell ref="C15:C16"/>
    <mergeCell ref="A14:A17"/>
    <mergeCell ref="B14:B17"/>
    <mergeCell ref="C14:D14"/>
    <mergeCell ref="E14:F14"/>
    <mergeCell ref="D15:D16"/>
    <mergeCell ref="W15:W16"/>
    <mergeCell ref="X15:X16"/>
    <mergeCell ref="Y15:Y16"/>
    <mergeCell ref="L14:L15"/>
    <mergeCell ref="M14:M15"/>
    <mergeCell ref="N14:N15"/>
    <mergeCell ref="O14:O15"/>
    <mergeCell ref="P14:P15"/>
    <mergeCell ref="R14:R15"/>
    <mergeCell ref="G14:G15"/>
    <mergeCell ref="H14:H15"/>
    <mergeCell ref="I14:I15"/>
    <mergeCell ref="S14:S15"/>
    <mergeCell ref="T14:T15"/>
    <mergeCell ref="U14:U15"/>
    <mergeCell ref="Z13:AA13"/>
    <mergeCell ref="Z14:AA14"/>
    <mergeCell ref="AB12:AC12"/>
    <mergeCell ref="AB13:AC13"/>
    <mergeCell ref="AB14:AC14"/>
    <mergeCell ref="AE15:AE16"/>
    <mergeCell ref="A3:O4"/>
    <mergeCell ref="Z10:AB10"/>
    <mergeCell ref="Z4:AB4"/>
    <mergeCell ref="AD9:AD10"/>
    <mergeCell ref="Z9:AB9"/>
    <mergeCell ref="AC9:AC10"/>
    <mergeCell ref="Z15:Z16"/>
    <mergeCell ref="AA15:AA16"/>
    <mergeCell ref="AB15:AB16"/>
    <mergeCell ref="AC15:AC16"/>
    <mergeCell ref="AD15:AD16"/>
    <mergeCell ref="V14:W14"/>
    <mergeCell ref="X14:Y14"/>
    <mergeCell ref="AD14:AE14"/>
    <mergeCell ref="Z12:AA12"/>
    <mergeCell ref="AF2:AG3"/>
    <mergeCell ref="Z3:AB3"/>
    <mergeCell ref="Z5:AB5"/>
    <mergeCell ref="Z6:AB6"/>
    <mergeCell ref="AC7:AC8"/>
    <mergeCell ref="AD7:AD8"/>
  </mergeCells>
  <phoneticPr fontId="13" type="noConversion"/>
  <printOptions horizontalCentered="1" verticalCentered="1"/>
  <pageMargins left="0.98425196850393704" right="0.39370078740157483" top="0.39370078740157483" bottom="0.39370078740157483" header="0.51181102362204722" footer="0.51181102362204722"/>
  <pageSetup paperSize="8" orientation="landscape" horizontalDpi="1200" verticalDpi="1200" r:id="rId1"/>
  <headerFooter alignWithMargins="0"/>
  <ignoredErrors>
    <ignoredError sqref="H26 H18 M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ul. Kołłątaja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Lukasz Dobrowolski</cp:lastModifiedBy>
  <cp:lastPrinted>2008-10-28T07:27:46Z</cp:lastPrinted>
  <dcterms:created xsi:type="dcterms:W3CDTF">1997-02-26T13:46:56Z</dcterms:created>
  <dcterms:modified xsi:type="dcterms:W3CDTF">2023-10-02T08:23:19Z</dcterms:modified>
</cp:coreProperties>
</file>