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KALKULACJA CENY" sheetId="1" r:id="rId1"/>
  </sheets>
  <definedNames>
    <definedName name="_xlnm.Print_Area" localSheetId="0">'fORMULARZ KALKULACJA CENY'!$B$2:$Q$90</definedName>
  </definedNames>
  <calcPr calcId="152511"/>
</workbook>
</file>

<file path=xl/calcChain.xml><?xml version="1.0" encoding="utf-8"?>
<calcChain xmlns="http://schemas.openxmlformats.org/spreadsheetml/2006/main">
  <c r="R89" i="1" l="1"/>
  <c r="R87" i="1"/>
  <c r="L8" i="1"/>
  <c r="M8" i="1" s="1"/>
  <c r="L10" i="1"/>
  <c r="M10" i="1" s="1"/>
  <c r="M13" i="1" l="1"/>
  <c r="Q8" i="1"/>
  <c r="R8" i="1" s="1"/>
  <c r="H8" i="1" l="1"/>
  <c r="Q87" i="1" l="1"/>
  <c r="M89" i="1"/>
  <c r="J92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71" i="1"/>
  <c r="M71" i="1" s="1"/>
  <c r="L72" i="1"/>
  <c r="M72" i="1" s="1"/>
  <c r="L73" i="1"/>
  <c r="M73" i="1" s="1"/>
  <c r="L74" i="1"/>
  <c r="M74" i="1" s="1"/>
  <c r="L75" i="1"/>
  <c r="M75" i="1" s="1"/>
  <c r="Q25" i="1"/>
  <c r="R25" i="1" s="1"/>
  <c r="L25" i="1"/>
  <c r="M25" i="1" s="1"/>
  <c r="Q24" i="1"/>
  <c r="R24" i="1" s="1"/>
  <c r="L24" i="1"/>
  <c r="M24" i="1" s="1"/>
  <c r="Q23" i="1"/>
  <c r="R23" i="1" s="1"/>
  <c r="L23" i="1"/>
  <c r="M23" i="1" s="1"/>
  <c r="Q10" i="1"/>
  <c r="R10" i="1" s="1"/>
  <c r="Q11" i="1"/>
  <c r="R11" i="1" s="1"/>
  <c r="Q9" i="1"/>
  <c r="R9" i="1" s="1"/>
  <c r="H87" i="1"/>
  <c r="H88" i="1" s="1"/>
  <c r="G23" i="1"/>
  <c r="H23" i="1" s="1"/>
  <c r="G24" i="1"/>
  <c r="H24" i="1" s="1"/>
  <c r="H25" i="1"/>
  <c r="H26" i="1"/>
  <c r="F27" i="1"/>
  <c r="G27" i="1"/>
  <c r="G28" i="1"/>
  <c r="G29" i="1"/>
  <c r="G30" i="1"/>
  <c r="G31" i="1"/>
  <c r="G32" i="1"/>
  <c r="G33" i="1"/>
  <c r="H34" i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4" i="1"/>
  <c r="H44" i="1" s="1"/>
  <c r="G46" i="1"/>
  <c r="H46" i="1" s="1"/>
  <c r="H48" i="1"/>
  <c r="H49" i="1"/>
  <c r="G52" i="1"/>
  <c r="H52" i="1" s="1"/>
  <c r="G53" i="1"/>
  <c r="H53" i="1" s="1"/>
  <c r="G57" i="1"/>
  <c r="H57" i="1" s="1"/>
  <c r="H58" i="1"/>
  <c r="H59" i="1"/>
  <c r="G61" i="1"/>
  <c r="H61" i="1" s="1"/>
  <c r="H68" i="1"/>
  <c r="G69" i="1"/>
  <c r="H69" i="1" s="1"/>
  <c r="G70" i="1"/>
  <c r="H70" i="1" s="1"/>
  <c r="G71" i="1"/>
  <c r="H71" i="1" s="1"/>
  <c r="G72" i="1"/>
  <c r="H72" i="1" s="1"/>
  <c r="G73" i="1"/>
  <c r="H73" i="1" s="1"/>
  <c r="H74" i="1"/>
  <c r="G75" i="1"/>
  <c r="H75" i="1" s="1"/>
  <c r="M77" i="1" l="1"/>
  <c r="J80" i="1" s="1"/>
  <c r="R13" i="1"/>
  <c r="J16" i="1" s="1"/>
  <c r="R77" i="1"/>
  <c r="H27" i="1"/>
  <c r="H31" i="1"/>
  <c r="H28" i="1"/>
  <c r="G10" i="1"/>
  <c r="H10" i="1" s="1"/>
  <c r="G11" i="1"/>
  <c r="H11" i="1" s="1"/>
  <c r="G9" i="1"/>
  <c r="H9" i="1" s="1"/>
  <c r="H76" i="1" l="1"/>
  <c r="H12" i="1"/>
</calcChain>
</file>

<file path=xl/sharedStrings.xml><?xml version="1.0" encoding="utf-8"?>
<sst xmlns="http://schemas.openxmlformats.org/spreadsheetml/2006/main" count="156" uniqueCount="94">
  <si>
    <t>l.p.</t>
  </si>
  <si>
    <t>Adres</t>
  </si>
  <si>
    <t>Grzybowa 201</t>
  </si>
  <si>
    <t>Grzybowa 203</t>
  </si>
  <si>
    <t>Grzybowa 199</t>
  </si>
  <si>
    <t>Legionów 22</t>
  </si>
  <si>
    <t>Legionów 19</t>
  </si>
  <si>
    <t>Legionów 11</t>
  </si>
  <si>
    <t>Legionów 15</t>
  </si>
  <si>
    <t>Kaczyniec 10</t>
  </si>
  <si>
    <t>Piastowska 6</t>
  </si>
  <si>
    <t>Zagórska 87</t>
  </si>
  <si>
    <t>Korola 21</t>
  </si>
  <si>
    <t>Korola 23</t>
  </si>
  <si>
    <t>Korola 25</t>
  </si>
  <si>
    <t>Grzybowa 222</t>
  </si>
  <si>
    <t>Grzybowa 224</t>
  </si>
  <si>
    <t>Legionów 16</t>
  </si>
  <si>
    <t>Legionów 20</t>
  </si>
  <si>
    <t>Legionów 21</t>
  </si>
  <si>
    <t>Czarnohucka 18</t>
  </si>
  <si>
    <t>Legionów 31</t>
  </si>
  <si>
    <t>Wyszyńskiego 97/I, 97/II</t>
  </si>
  <si>
    <t>Grzybowa 205</t>
  </si>
  <si>
    <t>Grzybowa 207</t>
  </si>
  <si>
    <t>Grzybowa 209</t>
  </si>
  <si>
    <t>Skargi 1</t>
  </si>
  <si>
    <t>Skargi 3</t>
  </si>
  <si>
    <t>Skargi 5</t>
  </si>
  <si>
    <t>Skargi 13</t>
  </si>
  <si>
    <t>Skargi 7</t>
  </si>
  <si>
    <t>Skargi 9</t>
  </si>
  <si>
    <t>Skargi 11</t>
  </si>
  <si>
    <t>Boczna 2</t>
  </si>
  <si>
    <t>Boczna 5</t>
  </si>
  <si>
    <t>Boczna 6</t>
  </si>
  <si>
    <t>Boczna 7</t>
  </si>
  <si>
    <t>Żwirowa 1</t>
  </si>
  <si>
    <t>Rynek 3</t>
  </si>
  <si>
    <t>Rynek 6, 6a</t>
  </si>
  <si>
    <t>Rynek 8</t>
  </si>
  <si>
    <t>Rynek 9</t>
  </si>
  <si>
    <t>Krakowska 13</t>
  </si>
  <si>
    <t>Krakowska 20</t>
  </si>
  <si>
    <t>Krakowska 14</t>
  </si>
  <si>
    <t>Witosa 3</t>
  </si>
  <si>
    <t>Pow. terenu zew. [ha]</t>
  </si>
  <si>
    <t>Zagórska 91/1, 91/II, 91/III</t>
  </si>
  <si>
    <t>Zagórska 93</t>
  </si>
  <si>
    <t>Krakowska 18</t>
  </si>
  <si>
    <t>Ilość kondygnacji</t>
  </si>
  <si>
    <t>podziemnych</t>
  </si>
  <si>
    <t>nadziemnych</t>
  </si>
  <si>
    <t>Legionów 33</t>
  </si>
  <si>
    <t>Pyskowicka 37</t>
  </si>
  <si>
    <t>Pyskowicka 37a</t>
  </si>
  <si>
    <t>Pyskowicka 37b</t>
  </si>
  <si>
    <t>Pyskowicka 37c</t>
  </si>
  <si>
    <r>
      <t xml:space="preserve">Zagórska 84 - </t>
    </r>
    <r>
      <rPr>
        <i/>
        <sz val="9"/>
        <color theme="1"/>
        <rFont val="Times New Roman"/>
        <family val="1"/>
        <charset val="238"/>
      </rPr>
      <t>teren zew.</t>
    </r>
  </si>
  <si>
    <t>Wyszyńskiego 17
tylko teren zewnętrzny</t>
  </si>
  <si>
    <t>Wyszyńskiego 19
tylko teren zewnętrzny</t>
  </si>
  <si>
    <t>[ZŁ NETTO/MIESIĄC]</t>
  </si>
  <si>
    <t>CENA ZA USŁUGĘ SPRZĄTANIA - BUDYNKI</t>
  </si>
  <si>
    <t>VAT</t>
  </si>
  <si>
    <t>%</t>
  </si>
  <si>
    <t>CENA ZA USŁUGĘ SPRZĄTANIA - TEREN ZEWNĘTRZNY</t>
  </si>
  <si>
    <r>
      <t xml:space="preserve">[ZŁ BRUTTO/MIESIĄC]
</t>
    </r>
    <r>
      <rPr>
        <sz val="11"/>
        <color theme="1"/>
        <rFont val="Calibri"/>
        <family val="2"/>
        <charset val="238"/>
        <scheme val="minor"/>
      </rPr>
      <t>zł netto + VAT</t>
    </r>
  </si>
  <si>
    <r>
      <t>Pow. działki [m</t>
    </r>
    <r>
      <rPr>
        <vertAlign val="superscript"/>
        <sz val="12"/>
        <color theme="1"/>
        <rFont val="Calibri"/>
        <family val="2"/>
        <charset val="238"/>
      </rPr>
      <t>2</t>
    </r>
    <r>
      <rPr>
        <sz val="12"/>
        <color theme="1"/>
        <rFont val="Calibri"/>
        <family val="2"/>
        <charset val="238"/>
      </rPr>
      <t>]</t>
    </r>
  </si>
  <si>
    <r>
      <t>Pow. zabudowy [m</t>
    </r>
    <r>
      <rPr>
        <vertAlign val="superscript"/>
        <sz val="12"/>
        <color theme="1"/>
        <rFont val="Calibri"/>
        <family val="2"/>
        <charset val="238"/>
      </rPr>
      <t>2</t>
    </r>
    <r>
      <rPr>
        <sz val="12"/>
        <color theme="1"/>
        <rFont val="Calibri"/>
        <family val="2"/>
        <charset val="238"/>
      </rPr>
      <t>]</t>
    </r>
  </si>
  <si>
    <r>
      <t>Pow. działki [m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]</t>
    </r>
  </si>
  <si>
    <r>
      <t>Pow. zabudowy [m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]</t>
    </r>
  </si>
  <si>
    <r>
      <t xml:space="preserve">Główna 27 - </t>
    </r>
    <r>
      <rPr>
        <i/>
        <sz val="9"/>
        <color theme="1"/>
        <rFont val="Calibri"/>
        <family val="2"/>
        <charset val="238"/>
        <scheme val="minor"/>
      </rPr>
      <t>teren zew.</t>
    </r>
  </si>
  <si>
    <r>
      <t xml:space="preserve">Witosa 61- </t>
    </r>
    <r>
      <rPr>
        <i/>
        <sz val="9"/>
        <color theme="1"/>
        <rFont val="Calibri"/>
        <family val="2"/>
        <charset val="238"/>
        <scheme val="minor"/>
      </rPr>
      <t>teren zew.</t>
    </r>
  </si>
  <si>
    <r>
      <t>Pow. działki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</si>
  <si>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r>
      <t>Pow. zabudowy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</si>
  <si>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t>Andersa 32</t>
  </si>
  <si>
    <t>LOKALE NIEMIESZKALNE
zlokalizowane w Tarnowskich Górach
WŁASNOŚĆ GMINA TARNOWSKIE GÓRY</t>
  </si>
  <si>
    <t>LOKALE MIESZKALNE
zlokalizowane w Tarnowskich Górach
WŁASNOŚĆ GMINA TARNOWSKIE GÓRY</t>
  </si>
  <si>
    <t>RAZEM</t>
  </si>
  <si>
    <r>
      <rPr>
        <b/>
        <sz val="11"/>
        <color theme="1"/>
        <rFont val="Calibri"/>
        <family val="2"/>
        <charset val="238"/>
        <scheme val="minor"/>
      </rPr>
      <t>CZĘŚĆ 1
FORMULARZ CENOWY</t>
    </r>
    <r>
      <rPr>
        <sz val="11"/>
        <color theme="1"/>
        <rFont val="Calibri"/>
        <family val="2"/>
        <charset val="238"/>
        <scheme val="minor"/>
      </rPr>
      <t xml:space="preserve">
LOKALE NIEMIESZKALNE
WŁASNOŚĆ GMINA TARNOWSKIE GÓRY</t>
    </r>
  </si>
  <si>
    <t>CZĘŚĆ 1</t>
  </si>
  <si>
    <t>CZĘŚĆ 2</t>
  </si>
  <si>
    <r>
      <rPr>
        <b/>
        <sz val="11"/>
        <color theme="1"/>
        <rFont val="Calibri"/>
        <family val="2"/>
        <charset val="238"/>
        <scheme val="minor"/>
      </rPr>
      <t>CZĘŚĆ  2
FORMULARZ CENOWY</t>
    </r>
    <r>
      <rPr>
        <sz val="11"/>
        <color theme="1"/>
        <rFont val="Calibri"/>
        <family val="2"/>
        <scheme val="minor"/>
      </rPr>
      <t xml:space="preserve">
LOKALE MIESZKALNE
WŁASNOŚĆ GMINA TARNOWSKIE GÓRY</t>
    </r>
  </si>
  <si>
    <t>CZĘŚĆ 3</t>
  </si>
  <si>
    <r>
      <rPr>
        <b/>
        <sz val="11"/>
        <color theme="1"/>
        <rFont val="Calibri"/>
        <family val="2"/>
        <charset val="238"/>
        <scheme val="minor"/>
      </rPr>
      <t>CZĘŚĆ 3
FORMULARZ CENOWY</t>
    </r>
    <r>
      <rPr>
        <sz val="11"/>
        <color theme="1"/>
        <rFont val="Calibri"/>
        <family val="2"/>
        <charset val="238"/>
        <scheme val="minor"/>
      </rPr>
      <t xml:space="preserve">
LOKALE NIEMIESZKALNE
WŁASNOŚĆ ZARZĄD NIERUCHOMOŚCI TARNOGÓRSKICH SP. Z O. O.</t>
    </r>
  </si>
  <si>
    <t>LOKALE NIEMIESZKALNE
zlokalizowane w Tarnowskich Górach
WŁASNOŚĆ ZARZĄD NIERUCHOMOŚCI TARNOGÓRSKICH SP. Z O. O.</t>
  </si>
  <si>
    <t>[ZŁ BRUTTO/12 MIESIĘCY]</t>
  </si>
  <si>
    <t>CENA OFERTY BRUTTO - BUDYNKI</t>
  </si>
  <si>
    <t>CENA OFERTY BRUTTO - TEREN ZEWNĘTRZNY</t>
  </si>
  <si>
    <t>CZĘŚĆ 1
CENA OFERTY BRUTTO</t>
  </si>
  <si>
    <t>CZĘŚĆ 2
CENA OFERTY BRUTTO</t>
  </si>
  <si>
    <t>CZĘŚĆ 3
CENA OFERTY BRUTTO</t>
  </si>
  <si>
    <r>
      <t xml:space="preserve">załącznik nr 2.2 do SWZ - FORMULARZ KALKULACJA CENY
</t>
    </r>
    <r>
      <rPr>
        <b/>
        <sz val="11"/>
        <color rgb="FFFF0000"/>
        <rFont val="Calibri"/>
        <family val="2"/>
        <charset val="238"/>
        <scheme val="minor"/>
      </rPr>
      <t>NALEŻY ZAŁĄCZYĆ WRAZ Z OFERTĄ</t>
    </r>
  </si>
  <si>
    <r>
      <rPr>
        <b/>
        <sz val="14"/>
        <color theme="1"/>
        <rFont val="Calibri"/>
        <family val="2"/>
        <charset val="238"/>
        <scheme val="minor"/>
      </rPr>
      <t>Ofertę można złożyć na jedną, dwie lub trzy części.</t>
    </r>
    <r>
      <rPr>
        <sz val="14"/>
        <color theme="1"/>
        <rFont val="Calibri"/>
        <family val="2"/>
        <scheme val="minor"/>
      </rPr>
      <t xml:space="preserve">
Formularz należy podpisać kalifikowanym podpisem elektronicznym, podpisem zaufanym lub osobistym przez osoby upoważnione do reprezentacji Wykonawcy / Wykonawców wspólne ubiegających się o udzielenie zamówienia.
Zamawiający rekomenduje, aby plik zapisać w pierwszej kolejności w formacie .pdf a następnie podpisać kalifikowanym podpisem elektronicznym, podpisem zaufanym lub osobistym.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</si>
</sst>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8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164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4" fontId="0" fillId="0" borderId="4" xfId="1" applyFont="1" applyBorder="1"/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4" fontId="0" fillId="5" borderId="4" xfId="1" applyFont="1" applyFill="1" applyBorder="1"/>
    <xf numFmtId="0" fontId="0" fillId="5" borderId="1" xfId="0" applyFill="1" applyBorder="1"/>
    <xf numFmtId="0" fontId="1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2" fontId="15" fillId="4" borderId="1" xfId="0" applyNumberFormat="1" applyFont="1" applyFill="1" applyBorder="1" applyAlignment="1">
      <alignment horizontal="center"/>
    </xf>
    <xf numFmtId="0" fontId="11" fillId="0" borderId="0" xfId="0" applyFont="1"/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44" fontId="5" fillId="0" borderId="4" xfId="1" applyFont="1" applyBorder="1"/>
    <xf numFmtId="9" fontId="5" fillId="0" borderId="4" xfId="2" applyFont="1" applyBorder="1"/>
    <xf numFmtId="44" fontId="5" fillId="5" borderId="4" xfId="1" applyFont="1" applyFill="1" applyBorder="1"/>
    <xf numFmtId="0" fontId="16" fillId="0" borderId="2" xfId="0" applyFont="1" applyBorder="1" applyAlignment="1">
      <alignment horizontal="center" vertical="center"/>
    </xf>
    <xf numFmtId="44" fontId="5" fillId="0" borderId="1" xfId="1" applyFont="1" applyBorder="1"/>
    <xf numFmtId="9" fontId="5" fillId="0" borderId="1" xfId="2" applyFont="1" applyBorder="1"/>
    <xf numFmtId="164" fontId="16" fillId="0" borderId="1" xfId="0" applyNumberFormat="1" applyFont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4" fontId="5" fillId="2" borderId="4" xfId="1" applyFont="1" applyFill="1" applyBorder="1"/>
    <xf numFmtId="44" fontId="0" fillId="3" borderId="1" xfId="1" applyFont="1" applyFill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9" fontId="10" fillId="0" borderId="9" xfId="2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0" fontId="10" fillId="5" borderId="0" xfId="0" applyFont="1" applyFill="1" applyBorder="1" applyAlignment="1">
      <alignment horizontal="right"/>
    </xf>
    <xf numFmtId="44" fontId="0" fillId="0" borderId="10" xfId="1" applyFont="1" applyBorder="1" applyAlignment="1">
      <alignment vertical="center"/>
    </xf>
    <xf numFmtId="44" fontId="10" fillId="4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44" fontId="0" fillId="0" borderId="0" xfId="1" applyFont="1" applyFill="1" applyBorder="1"/>
    <xf numFmtId="9" fontId="0" fillId="0" borderId="0" xfId="2" applyFont="1" applyFill="1" applyBorder="1"/>
    <xf numFmtId="44" fontId="3" fillId="0" borderId="9" xfId="0" applyNumberFormat="1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44" fontId="3" fillId="0" borderId="4" xfId="1" applyFont="1" applyBorder="1"/>
    <xf numFmtId="0" fontId="3" fillId="5" borderId="9" xfId="0" applyFont="1" applyFill="1" applyBorder="1" applyAlignment="1">
      <alignment horizontal="center" vertical="center" wrapText="1"/>
    </xf>
    <xf numFmtId="10" fontId="0" fillId="0" borderId="4" xfId="2" applyNumberFormat="1" applyFont="1" applyBorder="1"/>
    <xf numFmtId="10" fontId="0" fillId="0" borderId="1" xfId="2" applyNumberFormat="1" applyFont="1" applyBorder="1"/>
    <xf numFmtId="10" fontId="0" fillId="0" borderId="1" xfId="0" applyNumberFormat="1" applyBorder="1"/>
    <xf numFmtId="10" fontId="0" fillId="0" borderId="1" xfId="0" applyNumberFormat="1" applyBorder="1" applyAlignment="1">
      <alignment vertical="center"/>
    </xf>
    <xf numFmtId="44" fontId="0" fillId="0" borderId="4" xfId="1" applyNumberFormat="1" applyFont="1" applyBorder="1"/>
    <xf numFmtId="44" fontId="0" fillId="0" borderId="1" xfId="1" applyNumberFormat="1" applyFont="1" applyBorder="1"/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9" fontId="0" fillId="0" borderId="1" xfId="2" applyNumberFormat="1" applyFont="1" applyBorder="1"/>
    <xf numFmtId="44" fontId="3" fillId="0" borderId="9" xfId="1" applyFont="1" applyBorder="1"/>
    <xf numFmtId="44" fontId="0" fillId="2" borderId="1" xfId="0" applyNumberFormat="1" applyFill="1" applyBorder="1"/>
    <xf numFmtId="44" fontId="0" fillId="4" borderId="1" xfId="0" applyNumberFormat="1" applyFill="1" applyBorder="1"/>
    <xf numFmtId="44" fontId="0" fillId="3" borderId="1" xfId="0" applyNumberFormat="1" applyFill="1" applyBorder="1"/>
    <xf numFmtId="44" fontId="5" fillId="0" borderId="10" xfId="1" applyFont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25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44" fontId="0" fillId="3" borderId="5" xfId="1" applyFont="1" applyFill="1" applyBorder="1" applyAlignment="1">
      <alignment horizontal="right"/>
    </xf>
    <xf numFmtId="44" fontId="0" fillId="3" borderId="7" xfId="1" applyFont="1" applyFill="1" applyBorder="1" applyAlignment="1">
      <alignment horizontal="right"/>
    </xf>
    <xf numFmtId="44" fontId="0" fillId="3" borderId="6" xfId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3" borderId="5" xfId="1" applyFont="1" applyFill="1" applyBorder="1" applyAlignment="1">
      <alignment horizontal="center"/>
    </xf>
    <xf numFmtId="44" fontId="0" fillId="3" borderId="7" xfId="1" applyFont="1" applyFill="1" applyBorder="1" applyAlignment="1">
      <alignment horizontal="center"/>
    </xf>
    <xf numFmtId="44" fontId="0" fillId="3" borderId="6" xfId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4" fontId="4" fillId="2" borderId="5" xfId="1" applyFont="1" applyFill="1" applyBorder="1" applyAlignment="1">
      <alignment horizontal="center"/>
    </xf>
    <xf numFmtId="44" fontId="4" fillId="2" borderId="7" xfId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44" fontId="2" fillId="2" borderId="5" xfId="1" applyFont="1" applyFill="1" applyBorder="1" applyAlignment="1">
      <alignment horizontal="right"/>
    </xf>
    <xf numFmtId="44" fontId="2" fillId="2" borderId="7" xfId="1" applyFont="1" applyFill="1" applyBorder="1" applyAlignment="1">
      <alignment horizontal="right"/>
    </xf>
    <xf numFmtId="44" fontId="2" fillId="2" borderId="6" xfId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4" fontId="2" fillId="4" borderId="5" xfId="0" applyNumberFormat="1" applyFont="1" applyFill="1" applyBorder="1" applyAlignment="1">
      <alignment horizontal="right"/>
    </xf>
    <xf numFmtId="44" fontId="2" fillId="4" borderId="7" xfId="0" applyNumberFormat="1" applyFont="1" applyFill="1" applyBorder="1" applyAlignment="1">
      <alignment horizontal="right"/>
    </xf>
    <xf numFmtId="44" fontId="2" fillId="4" borderId="6" xfId="0" applyNumberFormat="1" applyFont="1" applyFill="1" applyBorder="1" applyAlignment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4"/>
  <sheetViews>
    <sheetView tabSelected="1" zoomScale="70" zoomScaleNormal="70" workbookViewId="0">
      <selection activeCell="Y6" sqref="Y6"/>
    </sheetView>
  </sheetViews>
  <sheetFormatPr defaultRowHeight="15" x14ac:dyDescent="0.25"/>
  <cols>
    <col min="2" max="2" width="3.85546875" customWidth="1"/>
    <col min="3" max="3" width="33" customWidth="1"/>
    <col min="4" max="4" width="12.85546875" bestFit="1" customWidth="1"/>
    <col min="5" max="5" width="12.7109375" bestFit="1" customWidth="1"/>
    <col min="6" max="6" width="12.42578125" customWidth="1"/>
    <col min="7" max="7" width="15" customWidth="1"/>
    <col min="8" max="8" width="12" customWidth="1"/>
    <col min="9" max="9" width="12" style="19" customWidth="1"/>
    <col min="10" max="10" width="25.5703125" customWidth="1"/>
    <col min="11" max="11" width="5.5703125" bestFit="1" customWidth="1"/>
    <col min="12" max="13" width="25.28515625" customWidth="1"/>
    <col min="14" max="14" width="1" customWidth="1"/>
    <col min="15" max="15" width="22.28515625" bestFit="1" customWidth="1"/>
    <col min="16" max="16" width="10.5703125" bestFit="1" customWidth="1"/>
    <col min="17" max="17" width="22.28515625" bestFit="1" customWidth="1"/>
    <col min="18" max="18" width="25.85546875" customWidth="1"/>
  </cols>
  <sheetData>
    <row r="2" spans="2:18" ht="34.5" customHeight="1" x14ac:dyDescent="0.25">
      <c r="B2" s="172" t="s">
        <v>92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2:18" ht="34.5" customHeight="1" x14ac:dyDescent="0.25">
      <c r="B3" s="169" t="s">
        <v>80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</row>
    <row r="4" spans="2:18" ht="15.75" x14ac:dyDescent="0.25">
      <c r="B4" s="4"/>
      <c r="C4" s="4"/>
      <c r="D4" s="7"/>
      <c r="E4" s="7"/>
      <c r="F4" s="5"/>
      <c r="G4" s="5"/>
      <c r="H4" s="5"/>
      <c r="I4" s="18"/>
    </row>
    <row r="5" spans="2:18" ht="57.75" customHeight="1" x14ac:dyDescent="0.25">
      <c r="B5" s="161" t="s">
        <v>76</v>
      </c>
      <c r="C5" s="162"/>
      <c r="D5" s="162"/>
      <c r="E5" s="162"/>
      <c r="F5" s="162"/>
      <c r="G5" s="162"/>
      <c r="H5" s="163"/>
      <c r="I5" s="48"/>
      <c r="J5" s="166" t="s">
        <v>79</v>
      </c>
      <c r="K5" s="167"/>
      <c r="L5" s="167"/>
      <c r="M5" s="167"/>
      <c r="N5" s="167"/>
      <c r="O5" s="167"/>
      <c r="P5" s="167"/>
      <c r="Q5" s="167"/>
      <c r="R5" s="168"/>
    </row>
    <row r="6" spans="2:18" ht="54.75" customHeight="1" x14ac:dyDescent="0.25">
      <c r="B6" s="151" t="s">
        <v>0</v>
      </c>
      <c r="C6" s="151" t="s">
        <v>1</v>
      </c>
      <c r="D6" s="164" t="s">
        <v>50</v>
      </c>
      <c r="E6" s="165"/>
      <c r="F6" s="149" t="s">
        <v>69</v>
      </c>
      <c r="G6" s="149" t="s">
        <v>70</v>
      </c>
      <c r="H6" s="149" t="s">
        <v>46</v>
      </c>
      <c r="I6" s="50"/>
      <c r="J6" s="21" t="s">
        <v>62</v>
      </c>
      <c r="K6" s="51" t="s">
        <v>63</v>
      </c>
      <c r="L6" s="21" t="s">
        <v>62</v>
      </c>
      <c r="M6" s="21" t="s">
        <v>62</v>
      </c>
      <c r="N6" s="26"/>
      <c r="O6" s="21" t="s">
        <v>65</v>
      </c>
      <c r="P6" s="51" t="s">
        <v>63</v>
      </c>
      <c r="Q6" s="20" t="s">
        <v>65</v>
      </c>
      <c r="R6" s="20" t="s">
        <v>65</v>
      </c>
    </row>
    <row r="7" spans="2:18" ht="30" customHeight="1" x14ac:dyDescent="0.25">
      <c r="B7" s="152"/>
      <c r="C7" s="152"/>
      <c r="D7" s="52" t="s">
        <v>51</v>
      </c>
      <c r="E7" s="52" t="s">
        <v>52</v>
      </c>
      <c r="F7" s="150"/>
      <c r="G7" s="150"/>
      <c r="H7" s="150"/>
      <c r="I7" s="50"/>
      <c r="J7" s="22" t="s">
        <v>61</v>
      </c>
      <c r="K7" s="22" t="s">
        <v>64</v>
      </c>
      <c r="L7" s="24" t="s">
        <v>66</v>
      </c>
      <c r="M7" s="24" t="s">
        <v>86</v>
      </c>
      <c r="N7" s="27"/>
      <c r="O7" s="22" t="s">
        <v>61</v>
      </c>
      <c r="P7" s="22" t="s">
        <v>64</v>
      </c>
      <c r="Q7" s="23" t="s">
        <v>66</v>
      </c>
      <c r="R7" s="23" t="s">
        <v>86</v>
      </c>
    </row>
    <row r="8" spans="2:18" ht="15.75" x14ac:dyDescent="0.25">
      <c r="B8" s="76">
        <v>1</v>
      </c>
      <c r="C8" s="77" t="s">
        <v>75</v>
      </c>
      <c r="D8" s="63">
        <v>1</v>
      </c>
      <c r="E8" s="63">
        <v>2</v>
      </c>
      <c r="F8" s="53">
        <v>5954</v>
      </c>
      <c r="G8" s="49">
        <v>445</v>
      </c>
      <c r="H8" s="58">
        <f t="shared" ref="H8:H9" si="0">((F8-G8)/10000)</f>
        <v>0.55089999999999995</v>
      </c>
      <c r="I8" s="50"/>
      <c r="J8" s="95"/>
      <c r="K8" s="96"/>
      <c r="L8" s="97">
        <f>J8+J8*K8</f>
        <v>0</v>
      </c>
      <c r="M8" s="108">
        <f>L8*12</f>
        <v>0</v>
      </c>
      <c r="N8" s="98"/>
      <c r="O8" s="95"/>
      <c r="P8" s="83"/>
      <c r="Q8" s="60">
        <f>O8+O8*P8</f>
        <v>0</v>
      </c>
      <c r="R8" s="105">
        <f>Q8*12</f>
        <v>0</v>
      </c>
    </row>
    <row r="9" spans="2:18" ht="15.75" x14ac:dyDescent="0.25">
      <c r="B9" s="54">
        <v>2</v>
      </c>
      <c r="C9" s="55" t="s">
        <v>71</v>
      </c>
      <c r="D9" s="56">
        <v>1</v>
      </c>
      <c r="E9" s="56">
        <v>2</v>
      </c>
      <c r="F9" s="56">
        <v>150</v>
      </c>
      <c r="G9" s="57">
        <f>(112+24)</f>
        <v>136</v>
      </c>
      <c r="H9" s="58">
        <f t="shared" si="0"/>
        <v>1.4E-3</v>
      </c>
      <c r="I9" s="59"/>
      <c r="J9" s="112"/>
      <c r="K9" s="112"/>
      <c r="L9" s="112"/>
      <c r="M9" s="112"/>
      <c r="N9" s="62"/>
      <c r="O9" s="60"/>
      <c r="P9" s="61"/>
      <c r="Q9" s="60">
        <f>O9+O9*P9</f>
        <v>0</v>
      </c>
      <c r="R9" s="105">
        <f t="shared" ref="R9:R11" si="1">Q9*12</f>
        <v>0</v>
      </c>
    </row>
    <row r="10" spans="2:18" ht="15.75" x14ac:dyDescent="0.25">
      <c r="B10" s="76">
        <v>3</v>
      </c>
      <c r="C10" s="55" t="s">
        <v>49</v>
      </c>
      <c r="D10" s="63">
        <v>1</v>
      </c>
      <c r="E10" s="63">
        <v>3</v>
      </c>
      <c r="F10" s="56">
        <v>600</v>
      </c>
      <c r="G10" s="57">
        <f>(366.1+88+41)</f>
        <v>495.1</v>
      </c>
      <c r="H10" s="58">
        <f>((F10-G10)/10000)</f>
        <v>1.0489999999999998E-2</v>
      </c>
      <c r="I10" s="59"/>
      <c r="J10" s="64"/>
      <c r="K10" s="65"/>
      <c r="L10" s="60">
        <f>J10+J10*K10</f>
        <v>0</v>
      </c>
      <c r="M10" s="108">
        <f t="shared" ref="M10" si="2">L10*12</f>
        <v>0</v>
      </c>
      <c r="N10" s="62"/>
      <c r="O10" s="64"/>
      <c r="P10" s="65"/>
      <c r="Q10" s="60">
        <f t="shared" ref="Q10:Q11" si="3">O10+O10*P10</f>
        <v>0</v>
      </c>
      <c r="R10" s="105">
        <f t="shared" si="1"/>
        <v>0</v>
      </c>
    </row>
    <row r="11" spans="2:18" ht="15.75" x14ac:dyDescent="0.25">
      <c r="B11" s="54">
        <v>4</v>
      </c>
      <c r="C11" s="55" t="s">
        <v>72</v>
      </c>
      <c r="D11" s="57">
        <v>1</v>
      </c>
      <c r="E11" s="57">
        <v>2</v>
      </c>
      <c r="F11" s="57">
        <v>860</v>
      </c>
      <c r="G11" s="57">
        <f>(271+13)</f>
        <v>284</v>
      </c>
      <c r="H11" s="66">
        <f>((F11-G11)/10000)</f>
        <v>5.7599999999999998E-2</v>
      </c>
      <c r="I11" s="59"/>
      <c r="J11" s="112"/>
      <c r="K11" s="112"/>
      <c r="L11" s="112"/>
      <c r="M11" s="112"/>
      <c r="N11" s="62"/>
      <c r="O11" s="64"/>
      <c r="P11" s="65"/>
      <c r="Q11" s="60">
        <f t="shared" si="3"/>
        <v>0</v>
      </c>
      <c r="R11" s="105">
        <f t="shared" si="1"/>
        <v>0</v>
      </c>
    </row>
    <row r="12" spans="2:18" ht="15.75" x14ac:dyDescent="0.25">
      <c r="B12" s="80"/>
      <c r="C12" s="81"/>
      <c r="D12" s="82"/>
      <c r="E12" s="82"/>
      <c r="F12" s="82"/>
      <c r="G12" s="82"/>
      <c r="H12" s="67">
        <f>SUM(H8:H11)</f>
        <v>0.62038999999999989</v>
      </c>
      <c r="I12" s="59"/>
      <c r="J12" s="153" t="s">
        <v>78</v>
      </c>
      <c r="K12" s="154"/>
      <c r="L12" s="154"/>
      <c r="M12" s="155"/>
      <c r="N12" s="62"/>
      <c r="O12" s="153" t="s">
        <v>78</v>
      </c>
      <c r="P12" s="154"/>
      <c r="Q12" s="154"/>
      <c r="R12" s="155"/>
    </row>
    <row r="13" spans="2:18" ht="15.75" x14ac:dyDescent="0.25">
      <c r="B13" s="80"/>
      <c r="C13" s="81"/>
      <c r="D13" s="82"/>
      <c r="E13" s="82"/>
      <c r="F13" s="82"/>
      <c r="G13" s="82"/>
      <c r="H13" s="84"/>
      <c r="I13" s="59"/>
      <c r="J13" s="156" t="s">
        <v>87</v>
      </c>
      <c r="K13" s="157"/>
      <c r="L13" s="158"/>
      <c r="M13" s="78">
        <f>SUM(M8:M11)</f>
        <v>0</v>
      </c>
      <c r="N13" s="62"/>
      <c r="O13" s="156" t="s">
        <v>88</v>
      </c>
      <c r="P13" s="157"/>
      <c r="Q13" s="158"/>
      <c r="R13" s="109">
        <f>SUM(R8:R11)</f>
        <v>0</v>
      </c>
    </row>
    <row r="14" spans="2:18" ht="12" customHeight="1" x14ac:dyDescent="0.25"/>
    <row r="15" spans="2:18" ht="39.75" customHeight="1" x14ac:dyDescent="0.25">
      <c r="J15" s="159" t="s">
        <v>89</v>
      </c>
      <c r="K15" s="160"/>
      <c r="L15" s="160"/>
      <c r="M15" s="160"/>
      <c r="N15" s="160"/>
      <c r="O15" s="160"/>
      <c r="P15" s="160"/>
      <c r="Q15" s="160"/>
      <c r="R15" s="160"/>
    </row>
    <row r="16" spans="2:18" x14ac:dyDescent="0.25">
      <c r="J16" s="147">
        <f>M13+R13</f>
        <v>0</v>
      </c>
      <c r="K16" s="148"/>
      <c r="L16" s="148"/>
      <c r="M16" s="148"/>
      <c r="N16" s="148"/>
      <c r="O16" s="148"/>
      <c r="P16" s="148"/>
      <c r="Q16" s="148"/>
      <c r="R16" s="148"/>
    </row>
    <row r="18" spans="2:18" ht="29.25" customHeight="1" x14ac:dyDescent="0.25">
      <c r="B18" s="127" t="s">
        <v>81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20" spans="2:18" ht="63" customHeight="1" x14ac:dyDescent="0.25">
      <c r="B20" s="179" t="s">
        <v>77</v>
      </c>
      <c r="C20" s="180"/>
      <c r="D20" s="180"/>
      <c r="E20" s="180"/>
      <c r="F20" s="180"/>
      <c r="G20" s="180"/>
      <c r="H20" s="181"/>
      <c r="I20" s="10"/>
      <c r="J20" s="126" t="s">
        <v>82</v>
      </c>
      <c r="K20" s="126"/>
      <c r="L20" s="126"/>
      <c r="M20" s="126"/>
      <c r="N20" s="126"/>
      <c r="O20" s="126"/>
      <c r="P20" s="126"/>
      <c r="Q20" s="126"/>
      <c r="R20" s="126"/>
    </row>
    <row r="21" spans="2:18" ht="45" x14ac:dyDescent="0.25">
      <c r="B21" s="135" t="s">
        <v>0</v>
      </c>
      <c r="C21" s="135" t="s">
        <v>1</v>
      </c>
      <c r="D21" s="139" t="s">
        <v>50</v>
      </c>
      <c r="E21" s="140"/>
      <c r="F21" s="137" t="s">
        <v>67</v>
      </c>
      <c r="G21" s="137" t="s">
        <v>68</v>
      </c>
      <c r="H21" s="137" t="s">
        <v>46</v>
      </c>
      <c r="I21" s="9"/>
      <c r="J21" s="21" t="s">
        <v>62</v>
      </c>
      <c r="K21" s="51" t="s">
        <v>63</v>
      </c>
      <c r="L21" s="21" t="s">
        <v>62</v>
      </c>
      <c r="M21" s="21" t="s">
        <v>62</v>
      </c>
      <c r="N21" s="26"/>
      <c r="O21" s="21" t="s">
        <v>65</v>
      </c>
      <c r="P21" s="51" t="s">
        <v>63</v>
      </c>
      <c r="Q21" s="20" t="s">
        <v>65</v>
      </c>
      <c r="R21" s="20" t="s">
        <v>65</v>
      </c>
    </row>
    <row r="22" spans="2:18" ht="30" x14ac:dyDescent="0.25">
      <c r="B22" s="136"/>
      <c r="C22" s="136"/>
      <c r="D22" s="30" t="s">
        <v>51</v>
      </c>
      <c r="E22" s="30" t="s">
        <v>52</v>
      </c>
      <c r="F22" s="138"/>
      <c r="G22" s="138"/>
      <c r="H22" s="138"/>
      <c r="I22" s="11"/>
      <c r="J22" s="22" t="s">
        <v>61</v>
      </c>
      <c r="K22" s="22" t="s">
        <v>64</v>
      </c>
      <c r="L22" s="24" t="s">
        <v>66</v>
      </c>
      <c r="M22" s="24" t="s">
        <v>86</v>
      </c>
      <c r="N22" s="27"/>
      <c r="O22" s="22" t="s">
        <v>61</v>
      </c>
      <c r="P22" s="22" t="s">
        <v>64</v>
      </c>
      <c r="Q22" s="23" t="s">
        <v>66</v>
      </c>
      <c r="R22" s="23" t="s">
        <v>86</v>
      </c>
    </row>
    <row r="23" spans="2:18" ht="15.75" x14ac:dyDescent="0.25">
      <c r="B23" s="31">
        <v>1</v>
      </c>
      <c r="C23" s="32" t="s">
        <v>33</v>
      </c>
      <c r="D23" s="31">
        <v>1</v>
      </c>
      <c r="E23" s="31">
        <v>2</v>
      </c>
      <c r="F23" s="33">
        <v>3816</v>
      </c>
      <c r="G23" s="34">
        <f>(143.4+95.5+7.47+23.16+102.39)</f>
        <v>371.92</v>
      </c>
      <c r="H23" s="35">
        <f>((F23-G23)/10000)</f>
        <v>0.34440799999999999</v>
      </c>
      <c r="I23" s="12"/>
      <c r="J23" s="103"/>
      <c r="K23" s="99"/>
      <c r="L23" s="25">
        <f t="shared" ref="L23:L68" si="4">J23+J23*K23</f>
        <v>0</v>
      </c>
      <c r="M23" s="25">
        <f>L23*12</f>
        <v>0</v>
      </c>
      <c r="N23" s="28"/>
      <c r="O23" s="103"/>
      <c r="P23" s="99"/>
      <c r="Q23" s="25">
        <f>O23+O23*P23</f>
        <v>0</v>
      </c>
      <c r="R23" s="105">
        <f>Q23*12</f>
        <v>0</v>
      </c>
    </row>
    <row r="24" spans="2:18" ht="15.75" x14ac:dyDescent="0.25">
      <c r="B24" s="31">
        <v>2</v>
      </c>
      <c r="C24" s="32" t="s">
        <v>34</v>
      </c>
      <c r="D24" s="31">
        <v>0</v>
      </c>
      <c r="E24" s="31">
        <v>2</v>
      </c>
      <c r="F24" s="33">
        <v>869.41</v>
      </c>
      <c r="G24" s="34">
        <f>(160+85+55)</f>
        <v>300</v>
      </c>
      <c r="H24" s="35">
        <f>((F24-G24)/10000)</f>
        <v>5.6940999999999999E-2</v>
      </c>
      <c r="I24" s="12"/>
      <c r="J24" s="104"/>
      <c r="K24" s="100"/>
      <c r="L24" s="25">
        <f t="shared" si="4"/>
        <v>0</v>
      </c>
      <c r="M24" s="25">
        <f t="shared" ref="M24:M75" si="5">L24*12</f>
        <v>0</v>
      </c>
      <c r="N24" s="28"/>
      <c r="O24" s="104"/>
      <c r="P24" s="100"/>
      <c r="Q24" s="25">
        <f t="shared" ref="Q24:Q75" si="6">O24+O24*P24</f>
        <v>0</v>
      </c>
      <c r="R24" s="105">
        <f t="shared" ref="R24:R75" si="7">Q24*12</f>
        <v>0</v>
      </c>
    </row>
    <row r="25" spans="2:18" ht="15.75" x14ac:dyDescent="0.25">
      <c r="B25" s="31">
        <v>3</v>
      </c>
      <c r="C25" s="32" t="s">
        <v>35</v>
      </c>
      <c r="D25" s="31">
        <v>0</v>
      </c>
      <c r="E25" s="31">
        <v>3</v>
      </c>
      <c r="F25" s="33">
        <v>1382</v>
      </c>
      <c r="G25" s="34">
        <v>302</v>
      </c>
      <c r="H25" s="35">
        <f>((F25-G25)/10000)</f>
        <v>0.108</v>
      </c>
      <c r="I25" s="12"/>
      <c r="J25" s="104"/>
      <c r="K25" s="100"/>
      <c r="L25" s="25">
        <f t="shared" si="4"/>
        <v>0</v>
      </c>
      <c r="M25" s="25">
        <f t="shared" si="5"/>
        <v>0</v>
      </c>
      <c r="N25" s="28"/>
      <c r="O25" s="104"/>
      <c r="P25" s="100"/>
      <c r="Q25" s="25">
        <f t="shared" si="6"/>
        <v>0</v>
      </c>
      <c r="R25" s="105">
        <f t="shared" si="7"/>
        <v>0</v>
      </c>
    </row>
    <row r="26" spans="2:18" ht="15.75" x14ac:dyDescent="0.25">
      <c r="B26" s="31">
        <v>4</v>
      </c>
      <c r="C26" s="32" t="s">
        <v>36</v>
      </c>
      <c r="D26" s="31">
        <v>0</v>
      </c>
      <c r="E26" s="31">
        <v>2</v>
      </c>
      <c r="F26" s="33">
        <v>675</v>
      </c>
      <c r="G26" s="34">
        <v>274.29000000000002</v>
      </c>
      <c r="H26" s="35">
        <f>((F26-G26)/10000)</f>
        <v>4.0070999999999996E-2</v>
      </c>
      <c r="I26" s="12"/>
      <c r="J26" s="104"/>
      <c r="K26" s="100"/>
      <c r="L26" s="25">
        <f t="shared" si="4"/>
        <v>0</v>
      </c>
      <c r="M26" s="25">
        <f t="shared" si="5"/>
        <v>0</v>
      </c>
      <c r="N26" s="29"/>
      <c r="O26" s="105"/>
      <c r="P26" s="101"/>
      <c r="Q26" s="25">
        <f t="shared" si="6"/>
        <v>0</v>
      </c>
      <c r="R26" s="105">
        <f t="shared" si="7"/>
        <v>0</v>
      </c>
    </row>
    <row r="27" spans="2:18" ht="15.75" x14ac:dyDescent="0.25">
      <c r="B27" s="31">
        <v>5</v>
      </c>
      <c r="C27" s="32" t="s">
        <v>20</v>
      </c>
      <c r="D27" s="31">
        <v>1</v>
      </c>
      <c r="E27" s="31">
        <v>2</v>
      </c>
      <c r="F27" s="33">
        <f>(920+718)</f>
        <v>1638</v>
      </c>
      <c r="G27" s="34">
        <f>(314+19+35+34+18)</f>
        <v>420</v>
      </c>
      <c r="H27" s="33">
        <f>((F27-G27)/10000)</f>
        <v>0.12180000000000001</v>
      </c>
      <c r="I27" s="13"/>
      <c r="J27" s="104"/>
      <c r="K27" s="100"/>
      <c r="L27" s="25">
        <f t="shared" si="4"/>
        <v>0</v>
      </c>
      <c r="M27" s="25">
        <f t="shared" si="5"/>
        <v>0</v>
      </c>
      <c r="N27" s="29"/>
      <c r="O27" s="105"/>
      <c r="P27" s="101"/>
      <c r="Q27" s="25">
        <f t="shared" si="6"/>
        <v>0</v>
      </c>
      <c r="R27" s="105">
        <f t="shared" si="7"/>
        <v>0</v>
      </c>
    </row>
    <row r="28" spans="2:18" ht="15.75" x14ac:dyDescent="0.25">
      <c r="B28" s="31">
        <v>6</v>
      </c>
      <c r="C28" s="36" t="s">
        <v>4</v>
      </c>
      <c r="D28" s="31">
        <v>1</v>
      </c>
      <c r="E28" s="31">
        <v>3</v>
      </c>
      <c r="F28" s="135">
        <v>4960</v>
      </c>
      <c r="G28" s="31">
        <f>(366+113)</f>
        <v>479</v>
      </c>
      <c r="H28" s="142">
        <f>((F28-G28-G29-G30)/10000)</f>
        <v>0.3755</v>
      </c>
      <c r="I28" s="14"/>
      <c r="J28" s="104"/>
      <c r="K28" s="100"/>
      <c r="L28" s="25">
        <f t="shared" si="4"/>
        <v>0</v>
      </c>
      <c r="M28" s="25">
        <f t="shared" si="5"/>
        <v>0</v>
      </c>
      <c r="N28" s="29"/>
      <c r="O28" s="105"/>
      <c r="P28" s="101"/>
      <c r="Q28" s="25">
        <f t="shared" si="6"/>
        <v>0</v>
      </c>
      <c r="R28" s="105">
        <f t="shared" si="7"/>
        <v>0</v>
      </c>
    </row>
    <row r="29" spans="2:18" ht="15.75" x14ac:dyDescent="0.25">
      <c r="B29" s="31">
        <v>7</v>
      </c>
      <c r="C29" s="36" t="s">
        <v>2</v>
      </c>
      <c r="D29" s="31">
        <v>1</v>
      </c>
      <c r="E29" s="31">
        <v>3</v>
      </c>
      <c r="F29" s="141"/>
      <c r="G29" s="31">
        <f>(372+115)</f>
        <v>487</v>
      </c>
      <c r="H29" s="143"/>
      <c r="I29" s="15"/>
      <c r="J29" s="104"/>
      <c r="K29" s="100"/>
      <c r="L29" s="25">
        <f t="shared" si="4"/>
        <v>0</v>
      </c>
      <c r="M29" s="25">
        <f t="shared" si="5"/>
        <v>0</v>
      </c>
      <c r="N29" s="29"/>
      <c r="O29" s="105"/>
      <c r="P29" s="101"/>
      <c r="Q29" s="25">
        <f t="shared" si="6"/>
        <v>0</v>
      </c>
      <c r="R29" s="105">
        <f t="shared" si="7"/>
        <v>0</v>
      </c>
    </row>
    <row r="30" spans="2:18" ht="15.75" x14ac:dyDescent="0.25">
      <c r="B30" s="31">
        <v>8</v>
      </c>
      <c r="C30" s="36" t="s">
        <v>3</v>
      </c>
      <c r="D30" s="31">
        <v>1</v>
      </c>
      <c r="E30" s="31">
        <v>2</v>
      </c>
      <c r="F30" s="136"/>
      <c r="G30" s="31">
        <f>(192+47)</f>
        <v>239</v>
      </c>
      <c r="H30" s="144"/>
      <c r="I30" s="15"/>
      <c r="J30" s="104"/>
      <c r="K30" s="100"/>
      <c r="L30" s="25">
        <f t="shared" si="4"/>
        <v>0</v>
      </c>
      <c r="M30" s="25">
        <f t="shared" si="5"/>
        <v>0</v>
      </c>
      <c r="N30" s="29"/>
      <c r="O30" s="105"/>
      <c r="P30" s="101"/>
      <c r="Q30" s="25">
        <f t="shared" si="6"/>
        <v>0</v>
      </c>
      <c r="R30" s="105">
        <f t="shared" si="7"/>
        <v>0</v>
      </c>
    </row>
    <row r="31" spans="2:18" ht="15.75" x14ac:dyDescent="0.25">
      <c r="B31" s="31">
        <v>9</v>
      </c>
      <c r="C31" s="36" t="s">
        <v>23</v>
      </c>
      <c r="D31" s="31">
        <v>1</v>
      </c>
      <c r="E31" s="31">
        <v>2</v>
      </c>
      <c r="F31" s="135">
        <v>4824</v>
      </c>
      <c r="G31" s="31">
        <f>(194+46)</f>
        <v>240</v>
      </c>
      <c r="H31" s="142">
        <f>((F31-G31-G32-G33)/10000)</f>
        <v>0.38648499999999997</v>
      </c>
      <c r="I31" s="14"/>
      <c r="J31" s="104"/>
      <c r="K31" s="100"/>
      <c r="L31" s="25">
        <f t="shared" si="4"/>
        <v>0</v>
      </c>
      <c r="M31" s="25">
        <f t="shared" si="5"/>
        <v>0</v>
      </c>
      <c r="N31" s="29"/>
      <c r="O31" s="105"/>
      <c r="P31" s="101"/>
      <c r="Q31" s="25">
        <f t="shared" si="6"/>
        <v>0</v>
      </c>
      <c r="R31" s="105">
        <f t="shared" si="7"/>
        <v>0</v>
      </c>
    </row>
    <row r="32" spans="2:18" ht="15.75" x14ac:dyDescent="0.25">
      <c r="B32" s="31">
        <v>10</v>
      </c>
      <c r="C32" s="36" t="s">
        <v>24</v>
      </c>
      <c r="D32" s="31">
        <v>0</v>
      </c>
      <c r="E32" s="31">
        <v>1.5</v>
      </c>
      <c r="F32" s="145"/>
      <c r="G32" s="31">
        <f>(184.29+48)</f>
        <v>232.29</v>
      </c>
      <c r="H32" s="143"/>
      <c r="I32" s="15"/>
      <c r="J32" s="104"/>
      <c r="K32" s="100"/>
      <c r="L32" s="25">
        <f t="shared" si="4"/>
        <v>0</v>
      </c>
      <c r="M32" s="25">
        <f t="shared" si="5"/>
        <v>0</v>
      </c>
      <c r="N32" s="29"/>
      <c r="O32" s="105"/>
      <c r="P32" s="101"/>
      <c r="Q32" s="25">
        <f t="shared" si="6"/>
        <v>0</v>
      </c>
      <c r="R32" s="105">
        <f t="shared" si="7"/>
        <v>0</v>
      </c>
    </row>
    <row r="33" spans="2:18" ht="15.75" x14ac:dyDescent="0.25">
      <c r="B33" s="31">
        <v>11</v>
      </c>
      <c r="C33" s="36" t="s">
        <v>25</v>
      </c>
      <c r="D33" s="31">
        <v>0</v>
      </c>
      <c r="E33" s="31">
        <v>1</v>
      </c>
      <c r="F33" s="146"/>
      <c r="G33" s="31">
        <f>(377.86+109)</f>
        <v>486.86</v>
      </c>
      <c r="H33" s="144"/>
      <c r="I33" s="15"/>
      <c r="J33" s="104"/>
      <c r="K33" s="100"/>
      <c r="L33" s="25">
        <f t="shared" si="4"/>
        <v>0</v>
      </c>
      <c r="M33" s="25">
        <f t="shared" si="5"/>
        <v>0</v>
      </c>
      <c r="N33" s="29"/>
      <c r="O33" s="105"/>
      <c r="P33" s="101"/>
      <c r="Q33" s="25">
        <f t="shared" si="6"/>
        <v>0</v>
      </c>
      <c r="R33" s="105">
        <f t="shared" si="7"/>
        <v>0</v>
      </c>
    </row>
    <row r="34" spans="2:18" ht="15.75" x14ac:dyDescent="0.25">
      <c r="B34" s="31">
        <v>12</v>
      </c>
      <c r="C34" s="36" t="s">
        <v>15</v>
      </c>
      <c r="D34" s="31">
        <v>1</v>
      </c>
      <c r="E34" s="31">
        <v>3</v>
      </c>
      <c r="F34" s="135">
        <v>3021</v>
      </c>
      <c r="G34" s="135">
        <v>404.23</v>
      </c>
      <c r="H34" s="142">
        <f>((F34-G34)/10000)</f>
        <v>0.26167699999999999</v>
      </c>
      <c r="I34" s="14"/>
      <c r="J34" s="104"/>
      <c r="K34" s="100"/>
      <c r="L34" s="25">
        <f t="shared" si="4"/>
        <v>0</v>
      </c>
      <c r="M34" s="25">
        <f t="shared" si="5"/>
        <v>0</v>
      </c>
      <c r="N34" s="29"/>
      <c r="O34" s="105"/>
      <c r="P34" s="101"/>
      <c r="Q34" s="25">
        <f t="shared" si="6"/>
        <v>0</v>
      </c>
      <c r="R34" s="105">
        <f t="shared" si="7"/>
        <v>0</v>
      </c>
    </row>
    <row r="35" spans="2:18" ht="15.75" x14ac:dyDescent="0.25">
      <c r="B35" s="31">
        <v>13</v>
      </c>
      <c r="C35" s="36" t="s">
        <v>16</v>
      </c>
      <c r="D35" s="31">
        <v>1</v>
      </c>
      <c r="E35" s="31">
        <v>3</v>
      </c>
      <c r="F35" s="136"/>
      <c r="G35" s="136"/>
      <c r="H35" s="146"/>
      <c r="I35" s="10"/>
      <c r="J35" s="104"/>
      <c r="K35" s="100"/>
      <c r="L35" s="25">
        <f t="shared" si="4"/>
        <v>0</v>
      </c>
      <c r="M35" s="25">
        <f t="shared" si="5"/>
        <v>0</v>
      </c>
      <c r="N35" s="29"/>
      <c r="O35" s="105"/>
      <c r="P35" s="101"/>
      <c r="Q35" s="25">
        <f t="shared" si="6"/>
        <v>0</v>
      </c>
      <c r="R35" s="105">
        <f t="shared" si="7"/>
        <v>0</v>
      </c>
    </row>
    <row r="36" spans="2:18" ht="15.75" x14ac:dyDescent="0.25">
      <c r="B36" s="31">
        <v>14</v>
      </c>
      <c r="C36" s="36" t="s">
        <v>42</v>
      </c>
      <c r="D36" s="31">
        <v>0</v>
      </c>
      <c r="E36" s="31">
        <v>3</v>
      </c>
      <c r="F36" s="37">
        <v>430</v>
      </c>
      <c r="G36" s="37">
        <f>(227+25)</f>
        <v>252</v>
      </c>
      <c r="H36" s="38">
        <f t="shared" ref="H36:H42" si="8">((F36-G36)/10000)</f>
        <v>1.78E-2</v>
      </c>
      <c r="I36" s="14"/>
      <c r="J36" s="104"/>
      <c r="K36" s="100"/>
      <c r="L36" s="25">
        <f t="shared" si="4"/>
        <v>0</v>
      </c>
      <c r="M36" s="25">
        <f t="shared" si="5"/>
        <v>0</v>
      </c>
      <c r="N36" s="29"/>
      <c r="O36" s="105"/>
      <c r="P36" s="101"/>
      <c r="Q36" s="25">
        <f t="shared" si="6"/>
        <v>0</v>
      </c>
      <c r="R36" s="105">
        <f t="shared" si="7"/>
        <v>0</v>
      </c>
    </row>
    <row r="37" spans="2:18" ht="15.75" x14ac:dyDescent="0.25">
      <c r="B37" s="31">
        <v>15</v>
      </c>
      <c r="C37" s="36" t="s">
        <v>44</v>
      </c>
      <c r="D37" s="31">
        <v>1</v>
      </c>
      <c r="E37" s="31">
        <v>4</v>
      </c>
      <c r="F37" s="37">
        <v>555</v>
      </c>
      <c r="G37" s="37">
        <f>(247+74+100)</f>
        <v>421</v>
      </c>
      <c r="H37" s="38">
        <f t="shared" si="8"/>
        <v>1.34E-2</v>
      </c>
      <c r="I37" s="14"/>
      <c r="J37" s="104"/>
      <c r="K37" s="100"/>
      <c r="L37" s="25">
        <f t="shared" si="4"/>
        <v>0</v>
      </c>
      <c r="M37" s="25">
        <f t="shared" si="5"/>
        <v>0</v>
      </c>
      <c r="N37" s="29"/>
      <c r="O37" s="105"/>
      <c r="P37" s="101"/>
      <c r="Q37" s="25">
        <f t="shared" si="6"/>
        <v>0</v>
      </c>
      <c r="R37" s="105">
        <f t="shared" si="7"/>
        <v>0</v>
      </c>
    </row>
    <row r="38" spans="2:18" ht="15.75" x14ac:dyDescent="0.25">
      <c r="B38" s="31">
        <v>16</v>
      </c>
      <c r="C38" s="36" t="s">
        <v>43</v>
      </c>
      <c r="D38" s="31">
        <v>1</v>
      </c>
      <c r="E38" s="31">
        <v>5</v>
      </c>
      <c r="F38" s="37">
        <v>1029</v>
      </c>
      <c r="G38" s="37">
        <f>(461+44+45+37)</f>
        <v>587</v>
      </c>
      <c r="H38" s="38">
        <f t="shared" si="8"/>
        <v>4.4200000000000003E-2</v>
      </c>
      <c r="I38" s="14"/>
      <c r="J38" s="104"/>
      <c r="K38" s="100"/>
      <c r="L38" s="25">
        <f t="shared" si="4"/>
        <v>0</v>
      </c>
      <c r="M38" s="25">
        <f t="shared" si="5"/>
        <v>0</v>
      </c>
      <c r="N38" s="29"/>
      <c r="O38" s="105"/>
      <c r="P38" s="101"/>
      <c r="Q38" s="25">
        <f t="shared" si="6"/>
        <v>0</v>
      </c>
      <c r="R38" s="105">
        <f t="shared" si="7"/>
        <v>0</v>
      </c>
    </row>
    <row r="39" spans="2:18" ht="15.75" x14ac:dyDescent="0.25">
      <c r="B39" s="31">
        <v>17</v>
      </c>
      <c r="C39" s="36" t="s">
        <v>7</v>
      </c>
      <c r="D39" s="31">
        <v>1</v>
      </c>
      <c r="E39" s="31">
        <v>2</v>
      </c>
      <c r="F39" s="31">
        <v>950.11</v>
      </c>
      <c r="G39" s="31">
        <f>(319+71.79)</f>
        <v>390.79</v>
      </c>
      <c r="H39" s="39">
        <f t="shared" si="8"/>
        <v>5.5931999999999996E-2</v>
      </c>
      <c r="I39" s="14"/>
      <c r="J39" s="104"/>
      <c r="K39" s="100"/>
      <c r="L39" s="25">
        <f t="shared" si="4"/>
        <v>0</v>
      </c>
      <c r="M39" s="25">
        <f t="shared" si="5"/>
        <v>0</v>
      </c>
      <c r="N39" s="29"/>
      <c r="O39" s="105"/>
      <c r="P39" s="101"/>
      <c r="Q39" s="25">
        <f t="shared" si="6"/>
        <v>0</v>
      </c>
      <c r="R39" s="105">
        <f t="shared" si="7"/>
        <v>0</v>
      </c>
    </row>
    <row r="40" spans="2:18" ht="15.75" x14ac:dyDescent="0.25">
      <c r="B40" s="31">
        <v>18</v>
      </c>
      <c r="C40" s="36" t="s">
        <v>8</v>
      </c>
      <c r="D40" s="31">
        <v>1</v>
      </c>
      <c r="E40" s="31">
        <v>3</v>
      </c>
      <c r="F40" s="31">
        <v>601.07000000000005</v>
      </c>
      <c r="G40" s="31">
        <f>(283.71+28+11.7)</f>
        <v>323.40999999999997</v>
      </c>
      <c r="H40" s="39">
        <f t="shared" si="8"/>
        <v>2.7766000000000009E-2</v>
      </c>
      <c r="I40" s="14"/>
      <c r="J40" s="104"/>
      <c r="K40" s="100"/>
      <c r="L40" s="25">
        <f t="shared" si="4"/>
        <v>0</v>
      </c>
      <c r="M40" s="25">
        <f t="shared" si="5"/>
        <v>0</v>
      </c>
      <c r="N40" s="29"/>
      <c r="O40" s="105"/>
      <c r="P40" s="101"/>
      <c r="Q40" s="25">
        <f t="shared" si="6"/>
        <v>0</v>
      </c>
      <c r="R40" s="105">
        <f t="shared" si="7"/>
        <v>0</v>
      </c>
    </row>
    <row r="41" spans="2:18" ht="15.75" x14ac:dyDescent="0.25">
      <c r="B41" s="31">
        <v>19</v>
      </c>
      <c r="C41" s="36" t="s">
        <v>17</v>
      </c>
      <c r="D41" s="31">
        <v>0</v>
      </c>
      <c r="E41" s="31">
        <v>3</v>
      </c>
      <c r="F41" s="31">
        <v>366.03</v>
      </c>
      <c r="G41" s="31">
        <f>(159.93+21.84+34.49+19.19)</f>
        <v>235.45000000000002</v>
      </c>
      <c r="H41" s="39">
        <f t="shared" si="8"/>
        <v>1.3057999999999995E-2</v>
      </c>
      <c r="I41" s="14"/>
      <c r="J41" s="104"/>
      <c r="K41" s="100"/>
      <c r="L41" s="25">
        <f t="shared" si="4"/>
        <v>0</v>
      </c>
      <c r="M41" s="25">
        <f t="shared" si="5"/>
        <v>0</v>
      </c>
      <c r="N41" s="29"/>
      <c r="O41" s="105"/>
      <c r="P41" s="101"/>
      <c r="Q41" s="25">
        <f t="shared" si="6"/>
        <v>0</v>
      </c>
      <c r="R41" s="105">
        <f t="shared" si="7"/>
        <v>0</v>
      </c>
    </row>
    <row r="42" spans="2:18" ht="15.75" x14ac:dyDescent="0.25">
      <c r="B42" s="31">
        <v>20</v>
      </c>
      <c r="C42" s="36" t="s">
        <v>6</v>
      </c>
      <c r="D42" s="31">
        <v>0</v>
      </c>
      <c r="E42" s="31">
        <v>3</v>
      </c>
      <c r="F42" s="135">
        <v>1703</v>
      </c>
      <c r="G42" s="135">
        <f>(306+368+120.89)</f>
        <v>794.89</v>
      </c>
      <c r="H42" s="142">
        <f t="shared" si="8"/>
        <v>9.0811000000000003E-2</v>
      </c>
      <c r="I42" s="14"/>
      <c r="J42" s="104"/>
      <c r="K42" s="100"/>
      <c r="L42" s="25">
        <f t="shared" si="4"/>
        <v>0</v>
      </c>
      <c r="M42" s="25">
        <f t="shared" si="5"/>
        <v>0</v>
      </c>
      <c r="N42" s="29"/>
      <c r="O42" s="105"/>
      <c r="P42" s="101"/>
      <c r="Q42" s="25">
        <f t="shared" si="6"/>
        <v>0</v>
      </c>
      <c r="R42" s="105">
        <f t="shared" si="7"/>
        <v>0</v>
      </c>
    </row>
    <row r="43" spans="2:18" ht="15.75" x14ac:dyDescent="0.25">
      <c r="B43" s="31">
        <v>21</v>
      </c>
      <c r="C43" s="36" t="s">
        <v>19</v>
      </c>
      <c r="D43" s="31">
        <v>0</v>
      </c>
      <c r="E43" s="31">
        <v>4</v>
      </c>
      <c r="F43" s="136"/>
      <c r="G43" s="136"/>
      <c r="H43" s="136"/>
      <c r="I43" s="16"/>
      <c r="J43" s="104"/>
      <c r="K43" s="100"/>
      <c r="L43" s="25">
        <f t="shared" si="4"/>
        <v>0</v>
      </c>
      <c r="M43" s="25">
        <f t="shared" si="5"/>
        <v>0</v>
      </c>
      <c r="N43" s="29"/>
      <c r="O43" s="105"/>
      <c r="P43" s="101"/>
      <c r="Q43" s="25">
        <f t="shared" si="6"/>
        <v>0</v>
      </c>
      <c r="R43" s="105">
        <f t="shared" si="7"/>
        <v>0</v>
      </c>
    </row>
    <row r="44" spans="2:18" ht="15.75" x14ac:dyDescent="0.25">
      <c r="B44" s="31">
        <v>22</v>
      </c>
      <c r="C44" s="36" t="s">
        <v>18</v>
      </c>
      <c r="D44" s="31">
        <v>0</v>
      </c>
      <c r="E44" s="31">
        <v>3</v>
      </c>
      <c r="F44" s="135">
        <v>754</v>
      </c>
      <c r="G44" s="135">
        <f>(161+170+79)</f>
        <v>410</v>
      </c>
      <c r="H44" s="142">
        <f>((F44-G44)/10000)</f>
        <v>3.44E-2</v>
      </c>
      <c r="I44" s="14"/>
      <c r="J44" s="104"/>
      <c r="K44" s="100"/>
      <c r="L44" s="25">
        <f t="shared" si="4"/>
        <v>0</v>
      </c>
      <c r="M44" s="25">
        <f t="shared" si="5"/>
        <v>0</v>
      </c>
      <c r="N44" s="29"/>
      <c r="O44" s="105"/>
      <c r="P44" s="101"/>
      <c r="Q44" s="25">
        <f t="shared" si="6"/>
        <v>0</v>
      </c>
      <c r="R44" s="105">
        <f t="shared" si="7"/>
        <v>0</v>
      </c>
    </row>
    <row r="45" spans="2:18" ht="15.75" x14ac:dyDescent="0.25">
      <c r="B45" s="31">
        <v>23</v>
      </c>
      <c r="C45" s="36" t="s">
        <v>5</v>
      </c>
      <c r="D45" s="31">
        <v>0</v>
      </c>
      <c r="E45" s="31">
        <v>3</v>
      </c>
      <c r="F45" s="136"/>
      <c r="G45" s="136"/>
      <c r="H45" s="136"/>
      <c r="I45" s="16"/>
      <c r="J45" s="104"/>
      <c r="K45" s="100"/>
      <c r="L45" s="25">
        <f t="shared" si="4"/>
        <v>0</v>
      </c>
      <c r="M45" s="25">
        <f t="shared" si="5"/>
        <v>0</v>
      </c>
      <c r="N45" s="29"/>
      <c r="O45" s="105"/>
      <c r="P45" s="101"/>
      <c r="Q45" s="25">
        <f t="shared" si="6"/>
        <v>0</v>
      </c>
      <c r="R45" s="105">
        <f t="shared" si="7"/>
        <v>0</v>
      </c>
    </row>
    <row r="46" spans="2:18" ht="15.75" x14ac:dyDescent="0.25">
      <c r="B46" s="31">
        <v>24</v>
      </c>
      <c r="C46" s="36" t="s">
        <v>21</v>
      </c>
      <c r="D46" s="31">
        <v>0</v>
      </c>
      <c r="E46" s="31">
        <v>3</v>
      </c>
      <c r="F46" s="135">
        <v>780</v>
      </c>
      <c r="G46" s="135">
        <f>(102.93+139+64.64)</f>
        <v>306.57</v>
      </c>
      <c r="H46" s="142">
        <f>((F46-G46)/10000)</f>
        <v>4.7343000000000003E-2</v>
      </c>
      <c r="I46" s="14"/>
      <c r="J46" s="104"/>
      <c r="K46" s="100"/>
      <c r="L46" s="25">
        <f t="shared" si="4"/>
        <v>0</v>
      </c>
      <c r="M46" s="25">
        <f t="shared" si="5"/>
        <v>0</v>
      </c>
      <c r="N46" s="29"/>
      <c r="O46" s="105"/>
      <c r="P46" s="101"/>
      <c r="Q46" s="25">
        <f t="shared" si="6"/>
        <v>0</v>
      </c>
      <c r="R46" s="105">
        <f t="shared" si="7"/>
        <v>0</v>
      </c>
    </row>
    <row r="47" spans="2:18" ht="15.75" x14ac:dyDescent="0.25">
      <c r="B47" s="31">
        <v>25</v>
      </c>
      <c r="C47" s="36" t="s">
        <v>53</v>
      </c>
      <c r="D47" s="31">
        <v>0</v>
      </c>
      <c r="E47" s="31">
        <v>3</v>
      </c>
      <c r="F47" s="136"/>
      <c r="G47" s="136"/>
      <c r="H47" s="136"/>
      <c r="I47" s="16"/>
      <c r="J47" s="104"/>
      <c r="K47" s="100"/>
      <c r="L47" s="25">
        <f t="shared" si="4"/>
        <v>0</v>
      </c>
      <c r="M47" s="25">
        <f t="shared" si="5"/>
        <v>0</v>
      </c>
      <c r="N47" s="29"/>
      <c r="O47" s="105"/>
      <c r="P47" s="101"/>
      <c r="Q47" s="25">
        <f t="shared" si="6"/>
        <v>0</v>
      </c>
      <c r="R47" s="105">
        <f t="shared" si="7"/>
        <v>0</v>
      </c>
    </row>
    <row r="48" spans="2:18" ht="15.75" x14ac:dyDescent="0.25">
      <c r="B48" s="31">
        <v>26</v>
      </c>
      <c r="C48" s="36" t="s">
        <v>9</v>
      </c>
      <c r="D48" s="31">
        <v>1</v>
      </c>
      <c r="E48" s="31">
        <v>0</v>
      </c>
      <c r="F48" s="31">
        <v>465.8</v>
      </c>
      <c r="G48" s="31">
        <v>206.22</v>
      </c>
      <c r="H48" s="39">
        <f>((F48-G48)/10000)</f>
        <v>2.5958000000000005E-2</v>
      </c>
      <c r="I48" s="14"/>
      <c r="J48" s="104"/>
      <c r="K48" s="100"/>
      <c r="L48" s="25">
        <f t="shared" si="4"/>
        <v>0</v>
      </c>
      <c r="M48" s="25">
        <f t="shared" si="5"/>
        <v>0</v>
      </c>
      <c r="N48" s="29"/>
      <c r="O48" s="105"/>
      <c r="P48" s="101"/>
      <c r="Q48" s="25">
        <f t="shared" si="6"/>
        <v>0</v>
      </c>
      <c r="R48" s="105">
        <f t="shared" si="7"/>
        <v>0</v>
      </c>
    </row>
    <row r="49" spans="2:18" ht="15.75" x14ac:dyDescent="0.25">
      <c r="B49" s="31">
        <v>27</v>
      </c>
      <c r="C49" s="36" t="s">
        <v>12</v>
      </c>
      <c r="D49" s="31">
        <v>1</v>
      </c>
      <c r="E49" s="31">
        <v>3</v>
      </c>
      <c r="F49" s="135">
        <v>4732</v>
      </c>
      <c r="G49" s="40">
        <v>193</v>
      </c>
      <c r="H49" s="142">
        <f>((F49-G49-G50-G51)/10000)</f>
        <v>0.41554200000000002</v>
      </c>
      <c r="I49" s="14"/>
      <c r="J49" s="104"/>
      <c r="K49" s="100"/>
      <c r="L49" s="25">
        <f t="shared" si="4"/>
        <v>0</v>
      </c>
      <c r="M49" s="25">
        <f t="shared" si="5"/>
        <v>0</v>
      </c>
      <c r="N49" s="29"/>
      <c r="O49" s="105"/>
      <c r="P49" s="101"/>
      <c r="Q49" s="25">
        <f t="shared" si="6"/>
        <v>0</v>
      </c>
      <c r="R49" s="105">
        <f t="shared" si="7"/>
        <v>0</v>
      </c>
    </row>
    <row r="50" spans="2:18" ht="15.75" x14ac:dyDescent="0.25">
      <c r="B50" s="31">
        <v>28</v>
      </c>
      <c r="C50" s="36" t="s">
        <v>13</v>
      </c>
      <c r="D50" s="31">
        <v>1</v>
      </c>
      <c r="E50" s="31">
        <v>3</v>
      </c>
      <c r="F50" s="141"/>
      <c r="G50" s="40">
        <v>192.18</v>
      </c>
      <c r="H50" s="141"/>
      <c r="I50" s="16"/>
      <c r="J50" s="104"/>
      <c r="K50" s="100"/>
      <c r="L50" s="25">
        <f t="shared" si="4"/>
        <v>0</v>
      </c>
      <c r="M50" s="25">
        <f t="shared" si="5"/>
        <v>0</v>
      </c>
      <c r="N50" s="29"/>
      <c r="O50" s="105"/>
      <c r="P50" s="101"/>
      <c r="Q50" s="25">
        <f t="shared" si="6"/>
        <v>0</v>
      </c>
      <c r="R50" s="105">
        <f t="shared" si="7"/>
        <v>0</v>
      </c>
    </row>
    <row r="51" spans="2:18" ht="15.75" x14ac:dyDescent="0.25">
      <c r="B51" s="31">
        <v>29</v>
      </c>
      <c r="C51" s="36" t="s">
        <v>14</v>
      </c>
      <c r="D51" s="31">
        <v>1</v>
      </c>
      <c r="E51" s="31">
        <v>3</v>
      </c>
      <c r="F51" s="136"/>
      <c r="G51" s="40">
        <v>191.4</v>
      </c>
      <c r="H51" s="136"/>
      <c r="I51" s="16"/>
      <c r="J51" s="104"/>
      <c r="K51" s="100"/>
      <c r="L51" s="25">
        <f t="shared" si="4"/>
        <v>0</v>
      </c>
      <c r="M51" s="25">
        <f t="shared" si="5"/>
        <v>0</v>
      </c>
      <c r="N51" s="29"/>
      <c r="O51" s="105"/>
      <c r="P51" s="101"/>
      <c r="Q51" s="25">
        <f t="shared" si="6"/>
        <v>0</v>
      </c>
      <c r="R51" s="105">
        <f t="shared" si="7"/>
        <v>0</v>
      </c>
    </row>
    <row r="52" spans="2:18" ht="15.75" x14ac:dyDescent="0.25">
      <c r="B52" s="31">
        <v>30</v>
      </c>
      <c r="C52" s="36" t="s">
        <v>10</v>
      </c>
      <c r="D52" s="31">
        <v>1</v>
      </c>
      <c r="E52" s="31">
        <v>3</v>
      </c>
      <c r="F52" s="31">
        <v>328</v>
      </c>
      <c r="G52" s="31">
        <f>(224.46+32.31)</f>
        <v>256.77</v>
      </c>
      <c r="H52" s="39">
        <f>((F52-G52)/10000)</f>
        <v>7.1230000000000017E-3</v>
      </c>
      <c r="I52" s="14"/>
      <c r="J52" s="104"/>
      <c r="K52" s="100"/>
      <c r="L52" s="25">
        <f t="shared" si="4"/>
        <v>0</v>
      </c>
      <c r="M52" s="25">
        <f t="shared" si="5"/>
        <v>0</v>
      </c>
      <c r="N52" s="29"/>
      <c r="O52" s="105"/>
      <c r="P52" s="101"/>
      <c r="Q52" s="25">
        <f t="shared" si="6"/>
        <v>0</v>
      </c>
      <c r="R52" s="105">
        <f t="shared" si="7"/>
        <v>0</v>
      </c>
    </row>
    <row r="53" spans="2:18" ht="15.75" x14ac:dyDescent="0.25">
      <c r="B53" s="135">
        <v>31</v>
      </c>
      <c r="C53" s="41" t="s">
        <v>54</v>
      </c>
      <c r="D53" s="42">
        <v>1</v>
      </c>
      <c r="E53" s="42">
        <v>2</v>
      </c>
      <c r="F53" s="135">
        <v>2861</v>
      </c>
      <c r="G53" s="135">
        <f>(97+102+102+97+40+16)</f>
        <v>454</v>
      </c>
      <c r="H53" s="142">
        <f>((F53-G53)/10000)</f>
        <v>0.2407</v>
      </c>
      <c r="I53" s="14"/>
      <c r="J53" s="104"/>
      <c r="K53" s="100"/>
      <c r="L53" s="25">
        <f t="shared" si="4"/>
        <v>0</v>
      </c>
      <c r="M53" s="25">
        <f t="shared" si="5"/>
        <v>0</v>
      </c>
      <c r="N53" s="29"/>
      <c r="O53" s="105"/>
      <c r="P53" s="101"/>
      <c r="Q53" s="25">
        <f t="shared" si="6"/>
        <v>0</v>
      </c>
      <c r="R53" s="105">
        <f t="shared" si="7"/>
        <v>0</v>
      </c>
    </row>
    <row r="54" spans="2:18" x14ac:dyDescent="0.25">
      <c r="B54" s="141"/>
      <c r="C54" s="41" t="s">
        <v>55</v>
      </c>
      <c r="D54" s="42">
        <v>1</v>
      </c>
      <c r="E54" s="42">
        <v>3</v>
      </c>
      <c r="F54" s="141"/>
      <c r="G54" s="141"/>
      <c r="H54" s="141"/>
      <c r="I54" s="16"/>
      <c r="J54" s="104"/>
      <c r="K54" s="100"/>
      <c r="L54" s="25">
        <f t="shared" si="4"/>
        <v>0</v>
      </c>
      <c r="M54" s="25">
        <f t="shared" si="5"/>
        <v>0</v>
      </c>
      <c r="N54" s="29"/>
      <c r="O54" s="105"/>
      <c r="P54" s="101"/>
      <c r="Q54" s="25">
        <f t="shared" si="6"/>
        <v>0</v>
      </c>
      <c r="R54" s="105">
        <f t="shared" si="7"/>
        <v>0</v>
      </c>
    </row>
    <row r="55" spans="2:18" x14ac:dyDescent="0.25">
      <c r="B55" s="141"/>
      <c r="C55" s="41" t="s">
        <v>56</v>
      </c>
      <c r="D55" s="42">
        <v>1</v>
      </c>
      <c r="E55" s="42">
        <v>3</v>
      </c>
      <c r="F55" s="141"/>
      <c r="G55" s="141"/>
      <c r="H55" s="141"/>
      <c r="I55" s="16"/>
      <c r="J55" s="104"/>
      <c r="K55" s="100"/>
      <c r="L55" s="25">
        <f t="shared" si="4"/>
        <v>0</v>
      </c>
      <c r="M55" s="25">
        <f t="shared" si="5"/>
        <v>0</v>
      </c>
      <c r="N55" s="29"/>
      <c r="O55" s="105"/>
      <c r="P55" s="101"/>
      <c r="Q55" s="25">
        <f t="shared" si="6"/>
        <v>0</v>
      </c>
      <c r="R55" s="105">
        <f t="shared" si="7"/>
        <v>0</v>
      </c>
    </row>
    <row r="56" spans="2:18" x14ac:dyDescent="0.25">
      <c r="B56" s="136"/>
      <c r="C56" s="41" t="s">
        <v>57</v>
      </c>
      <c r="D56" s="42">
        <v>1</v>
      </c>
      <c r="E56" s="42">
        <v>3</v>
      </c>
      <c r="F56" s="136"/>
      <c r="G56" s="136"/>
      <c r="H56" s="136"/>
      <c r="I56" s="16"/>
      <c r="J56" s="104"/>
      <c r="K56" s="100"/>
      <c r="L56" s="25">
        <f t="shared" si="4"/>
        <v>0</v>
      </c>
      <c r="M56" s="25">
        <f t="shared" si="5"/>
        <v>0</v>
      </c>
      <c r="N56" s="29"/>
      <c r="O56" s="105"/>
      <c r="P56" s="101"/>
      <c r="Q56" s="25">
        <f t="shared" si="6"/>
        <v>0</v>
      </c>
      <c r="R56" s="105">
        <f t="shared" si="7"/>
        <v>0</v>
      </c>
    </row>
    <row r="57" spans="2:18" ht="15.75" x14ac:dyDescent="0.25">
      <c r="B57" s="31">
        <v>32</v>
      </c>
      <c r="C57" s="36" t="s">
        <v>38</v>
      </c>
      <c r="D57" s="31">
        <v>1</v>
      </c>
      <c r="E57" s="31">
        <v>3</v>
      </c>
      <c r="F57" s="43">
        <v>481</v>
      </c>
      <c r="G57" s="43">
        <f>(186.2+36.14+26+7+81.15+21.36)</f>
        <v>357.85</v>
      </c>
      <c r="H57" s="44">
        <f>((F57-G57)/10000)</f>
        <v>1.2314999999999998E-2</v>
      </c>
      <c r="I57" s="14"/>
      <c r="J57" s="104"/>
      <c r="K57" s="100"/>
      <c r="L57" s="25">
        <f t="shared" si="4"/>
        <v>0</v>
      </c>
      <c r="M57" s="25">
        <f t="shared" si="5"/>
        <v>0</v>
      </c>
      <c r="N57" s="29"/>
      <c r="O57" s="105"/>
      <c r="P57" s="101"/>
      <c r="Q57" s="25">
        <f t="shared" si="6"/>
        <v>0</v>
      </c>
      <c r="R57" s="105">
        <f t="shared" si="7"/>
        <v>0</v>
      </c>
    </row>
    <row r="58" spans="2:18" ht="15.75" x14ac:dyDescent="0.25">
      <c r="B58" s="31">
        <v>33</v>
      </c>
      <c r="C58" s="36" t="s">
        <v>39</v>
      </c>
      <c r="D58" s="31">
        <v>1</v>
      </c>
      <c r="E58" s="31">
        <v>2</v>
      </c>
      <c r="F58" s="43">
        <v>437</v>
      </c>
      <c r="G58" s="43">
        <v>374</v>
      </c>
      <c r="H58" s="44">
        <f>((F58-G58+3)/10000)</f>
        <v>6.6E-3</v>
      </c>
      <c r="I58" s="14"/>
      <c r="J58" s="104"/>
      <c r="K58" s="100"/>
      <c r="L58" s="25">
        <f t="shared" si="4"/>
        <v>0</v>
      </c>
      <c r="M58" s="25">
        <f t="shared" si="5"/>
        <v>0</v>
      </c>
      <c r="N58" s="29"/>
      <c r="O58" s="105"/>
      <c r="P58" s="101"/>
      <c r="Q58" s="25">
        <f t="shared" si="6"/>
        <v>0</v>
      </c>
      <c r="R58" s="105">
        <f t="shared" si="7"/>
        <v>0</v>
      </c>
    </row>
    <row r="59" spans="2:18" ht="15.75" x14ac:dyDescent="0.25">
      <c r="B59" s="31">
        <v>34</v>
      </c>
      <c r="C59" s="36" t="s">
        <v>40</v>
      </c>
      <c r="D59" s="31">
        <v>1</v>
      </c>
      <c r="E59" s="31">
        <v>4</v>
      </c>
      <c r="F59" s="135">
        <v>759</v>
      </c>
      <c r="G59" s="43">
        <v>177</v>
      </c>
      <c r="H59" s="142">
        <f>((F59-G59-G60)/10000)</f>
        <v>2.53E-2</v>
      </c>
      <c r="I59" s="14"/>
      <c r="J59" s="104"/>
      <c r="K59" s="100"/>
      <c r="L59" s="25">
        <f t="shared" si="4"/>
        <v>0</v>
      </c>
      <c r="M59" s="25">
        <f t="shared" si="5"/>
        <v>0</v>
      </c>
      <c r="N59" s="29"/>
      <c r="O59" s="105"/>
      <c r="P59" s="101"/>
      <c r="Q59" s="25">
        <f t="shared" si="6"/>
        <v>0</v>
      </c>
      <c r="R59" s="105">
        <f t="shared" si="7"/>
        <v>0</v>
      </c>
    </row>
    <row r="60" spans="2:18" ht="15.75" x14ac:dyDescent="0.25">
      <c r="B60" s="31">
        <v>35</v>
      </c>
      <c r="C60" s="36" t="s">
        <v>41</v>
      </c>
      <c r="D60" s="31">
        <v>0</v>
      </c>
      <c r="E60" s="31">
        <v>1</v>
      </c>
      <c r="F60" s="136"/>
      <c r="G60" s="43">
        <v>329</v>
      </c>
      <c r="H60" s="136"/>
      <c r="I60" s="16"/>
      <c r="J60" s="104"/>
      <c r="K60" s="100"/>
      <c r="L60" s="25">
        <f t="shared" si="4"/>
        <v>0</v>
      </c>
      <c r="M60" s="25">
        <f t="shared" si="5"/>
        <v>0</v>
      </c>
      <c r="N60" s="29"/>
      <c r="O60" s="105"/>
      <c r="P60" s="101"/>
      <c r="Q60" s="25">
        <f t="shared" si="6"/>
        <v>0</v>
      </c>
      <c r="R60" s="105">
        <f t="shared" si="7"/>
        <v>0</v>
      </c>
    </row>
    <row r="61" spans="2:18" ht="15.75" x14ac:dyDescent="0.25">
      <c r="B61" s="31">
        <v>36</v>
      </c>
      <c r="C61" s="36" t="s">
        <v>26</v>
      </c>
      <c r="D61" s="31">
        <v>1</v>
      </c>
      <c r="E61" s="31">
        <v>3</v>
      </c>
      <c r="F61" s="135">
        <v>8701</v>
      </c>
      <c r="G61" s="135">
        <f>(192.24+178.6+190.07+180.99+177.02+178.04+506.55+147.62+36.9+29.98)</f>
        <v>1818.0100000000002</v>
      </c>
      <c r="H61" s="142">
        <f>((F61-G61)/10000)</f>
        <v>0.68829899999999999</v>
      </c>
      <c r="I61" s="14"/>
      <c r="J61" s="104"/>
      <c r="K61" s="100"/>
      <c r="L61" s="25">
        <f t="shared" si="4"/>
        <v>0</v>
      </c>
      <c r="M61" s="25">
        <f t="shared" si="5"/>
        <v>0</v>
      </c>
      <c r="N61" s="29"/>
      <c r="O61" s="105"/>
      <c r="P61" s="101"/>
      <c r="Q61" s="25">
        <f t="shared" si="6"/>
        <v>0</v>
      </c>
      <c r="R61" s="105">
        <f t="shared" si="7"/>
        <v>0</v>
      </c>
    </row>
    <row r="62" spans="2:18" ht="15.75" x14ac:dyDescent="0.25">
      <c r="B62" s="31">
        <v>37</v>
      </c>
      <c r="C62" s="36" t="s">
        <v>27</v>
      </c>
      <c r="D62" s="31">
        <v>1</v>
      </c>
      <c r="E62" s="31">
        <v>3</v>
      </c>
      <c r="F62" s="141"/>
      <c r="G62" s="141"/>
      <c r="H62" s="141"/>
      <c r="I62" s="16"/>
      <c r="J62" s="104"/>
      <c r="K62" s="100"/>
      <c r="L62" s="25">
        <f t="shared" si="4"/>
        <v>0</v>
      </c>
      <c r="M62" s="25">
        <f t="shared" si="5"/>
        <v>0</v>
      </c>
      <c r="N62" s="29"/>
      <c r="O62" s="105"/>
      <c r="P62" s="101"/>
      <c r="Q62" s="25">
        <f t="shared" si="6"/>
        <v>0</v>
      </c>
      <c r="R62" s="105">
        <f t="shared" si="7"/>
        <v>0</v>
      </c>
    </row>
    <row r="63" spans="2:18" ht="15.75" x14ac:dyDescent="0.25">
      <c r="B63" s="31">
        <v>38</v>
      </c>
      <c r="C63" s="36" t="s">
        <v>28</v>
      </c>
      <c r="D63" s="31">
        <v>1</v>
      </c>
      <c r="E63" s="31">
        <v>3</v>
      </c>
      <c r="F63" s="141"/>
      <c r="G63" s="141"/>
      <c r="H63" s="141"/>
      <c r="I63" s="16"/>
      <c r="J63" s="104"/>
      <c r="K63" s="100"/>
      <c r="L63" s="25">
        <f t="shared" si="4"/>
        <v>0</v>
      </c>
      <c r="M63" s="25">
        <f t="shared" si="5"/>
        <v>0</v>
      </c>
      <c r="N63" s="29"/>
      <c r="O63" s="105"/>
      <c r="P63" s="101"/>
      <c r="Q63" s="25">
        <f t="shared" si="6"/>
        <v>0</v>
      </c>
      <c r="R63" s="105">
        <f t="shared" si="7"/>
        <v>0</v>
      </c>
    </row>
    <row r="64" spans="2:18" ht="15.75" x14ac:dyDescent="0.25">
      <c r="B64" s="31">
        <v>39</v>
      </c>
      <c r="C64" s="36" t="s">
        <v>30</v>
      </c>
      <c r="D64" s="31">
        <v>1</v>
      </c>
      <c r="E64" s="31">
        <v>3</v>
      </c>
      <c r="F64" s="141"/>
      <c r="G64" s="141"/>
      <c r="H64" s="141"/>
      <c r="I64" s="16"/>
      <c r="J64" s="104"/>
      <c r="K64" s="100"/>
      <c r="L64" s="25">
        <f t="shared" si="4"/>
        <v>0</v>
      </c>
      <c r="M64" s="25">
        <f t="shared" si="5"/>
        <v>0</v>
      </c>
      <c r="N64" s="29"/>
      <c r="O64" s="105"/>
      <c r="P64" s="101"/>
      <c r="Q64" s="25">
        <f t="shared" si="6"/>
        <v>0</v>
      </c>
      <c r="R64" s="105">
        <f t="shared" si="7"/>
        <v>0</v>
      </c>
    </row>
    <row r="65" spans="2:18" ht="15.75" x14ac:dyDescent="0.25">
      <c r="B65" s="31">
        <v>40</v>
      </c>
      <c r="C65" s="36" t="s">
        <v>31</v>
      </c>
      <c r="D65" s="31">
        <v>1</v>
      </c>
      <c r="E65" s="31">
        <v>3</v>
      </c>
      <c r="F65" s="141"/>
      <c r="G65" s="141"/>
      <c r="H65" s="141"/>
      <c r="I65" s="16"/>
      <c r="J65" s="104"/>
      <c r="K65" s="100"/>
      <c r="L65" s="25">
        <f t="shared" si="4"/>
        <v>0</v>
      </c>
      <c r="M65" s="25">
        <f t="shared" si="5"/>
        <v>0</v>
      </c>
      <c r="N65" s="29"/>
      <c r="O65" s="105"/>
      <c r="P65" s="101"/>
      <c r="Q65" s="25">
        <f t="shared" si="6"/>
        <v>0</v>
      </c>
      <c r="R65" s="105">
        <f t="shared" si="7"/>
        <v>0</v>
      </c>
    </row>
    <row r="66" spans="2:18" ht="15.75" x14ac:dyDescent="0.25">
      <c r="B66" s="31">
        <v>41</v>
      </c>
      <c r="C66" s="36" t="s">
        <v>32</v>
      </c>
      <c r="D66" s="31">
        <v>1</v>
      </c>
      <c r="E66" s="31">
        <v>3</v>
      </c>
      <c r="F66" s="141"/>
      <c r="G66" s="141"/>
      <c r="H66" s="141"/>
      <c r="I66" s="16"/>
      <c r="J66" s="104"/>
      <c r="K66" s="100"/>
      <c r="L66" s="25">
        <f t="shared" si="4"/>
        <v>0</v>
      </c>
      <c r="M66" s="25">
        <f t="shared" si="5"/>
        <v>0</v>
      </c>
      <c r="N66" s="29"/>
      <c r="O66" s="105"/>
      <c r="P66" s="101"/>
      <c r="Q66" s="25">
        <f t="shared" si="6"/>
        <v>0</v>
      </c>
      <c r="R66" s="105">
        <f t="shared" si="7"/>
        <v>0</v>
      </c>
    </row>
    <row r="67" spans="2:18" ht="15.75" x14ac:dyDescent="0.25">
      <c r="B67" s="31">
        <v>42</v>
      </c>
      <c r="C67" s="36" t="s">
        <v>29</v>
      </c>
      <c r="D67" s="31">
        <v>1</v>
      </c>
      <c r="E67" s="31">
        <v>3</v>
      </c>
      <c r="F67" s="136"/>
      <c r="G67" s="136"/>
      <c r="H67" s="136"/>
      <c r="I67" s="16"/>
      <c r="J67" s="104"/>
      <c r="K67" s="100"/>
      <c r="L67" s="25">
        <f t="shared" si="4"/>
        <v>0</v>
      </c>
      <c r="M67" s="25">
        <f t="shared" si="5"/>
        <v>0</v>
      </c>
      <c r="N67" s="29"/>
      <c r="O67" s="105"/>
      <c r="P67" s="101"/>
      <c r="Q67" s="25">
        <f t="shared" si="6"/>
        <v>0</v>
      </c>
      <c r="R67" s="105">
        <f t="shared" si="7"/>
        <v>0</v>
      </c>
    </row>
    <row r="68" spans="2:18" ht="15.75" x14ac:dyDescent="0.25">
      <c r="B68" s="31">
        <v>43</v>
      </c>
      <c r="C68" s="36" t="s">
        <v>45</v>
      </c>
      <c r="D68" s="31">
        <v>0</v>
      </c>
      <c r="E68" s="31">
        <v>3</v>
      </c>
      <c r="F68" s="31">
        <v>818</v>
      </c>
      <c r="G68" s="31">
        <v>234.73</v>
      </c>
      <c r="H68" s="39">
        <f t="shared" ref="H68:H75" si="9">((F68-G68)/10000)</f>
        <v>5.8326999999999997E-2</v>
      </c>
      <c r="I68" s="14"/>
      <c r="J68" s="104"/>
      <c r="K68" s="100"/>
      <c r="L68" s="25">
        <f t="shared" si="4"/>
        <v>0</v>
      </c>
      <c r="M68" s="25">
        <f t="shared" si="5"/>
        <v>0</v>
      </c>
      <c r="N68" s="29"/>
      <c r="O68" s="105"/>
      <c r="P68" s="101"/>
      <c r="Q68" s="25">
        <f t="shared" si="6"/>
        <v>0</v>
      </c>
      <c r="R68" s="105">
        <f t="shared" si="7"/>
        <v>0</v>
      </c>
    </row>
    <row r="69" spans="2:18" ht="31.5" x14ac:dyDescent="0.25">
      <c r="B69" s="31">
        <v>44</v>
      </c>
      <c r="C69" s="45" t="s">
        <v>59</v>
      </c>
      <c r="D69" s="31">
        <v>0</v>
      </c>
      <c r="E69" s="31">
        <v>2</v>
      </c>
      <c r="F69" s="31">
        <v>378</v>
      </c>
      <c r="G69" s="31">
        <f>(94.81+13.48)</f>
        <v>108.29</v>
      </c>
      <c r="H69" s="39">
        <f t="shared" si="9"/>
        <v>2.6970999999999998E-2</v>
      </c>
      <c r="I69" s="14"/>
      <c r="J69" s="86"/>
      <c r="K69" s="86"/>
      <c r="L69" s="86"/>
      <c r="M69" s="112"/>
      <c r="N69" s="75"/>
      <c r="O69" s="106"/>
      <c r="P69" s="102"/>
      <c r="Q69" s="74">
        <f t="shared" si="6"/>
        <v>0</v>
      </c>
      <c r="R69" s="105">
        <f t="shared" si="7"/>
        <v>0</v>
      </c>
    </row>
    <row r="70" spans="2:18" ht="31.5" x14ac:dyDescent="0.25">
      <c r="B70" s="31">
        <v>45</v>
      </c>
      <c r="C70" s="45" t="s">
        <v>60</v>
      </c>
      <c r="D70" s="31">
        <v>0</v>
      </c>
      <c r="E70" s="31">
        <v>2</v>
      </c>
      <c r="F70" s="31">
        <v>823.61</v>
      </c>
      <c r="G70" s="31">
        <f>(94.84+13.47+24.24)</f>
        <v>132.55000000000001</v>
      </c>
      <c r="H70" s="39">
        <f t="shared" si="9"/>
        <v>6.9106000000000001E-2</v>
      </c>
      <c r="I70" s="14"/>
      <c r="J70" s="86"/>
      <c r="K70" s="86"/>
      <c r="L70" s="86"/>
      <c r="M70" s="112"/>
      <c r="N70" s="75"/>
      <c r="O70" s="106"/>
      <c r="P70" s="102"/>
      <c r="Q70" s="74">
        <f t="shared" si="6"/>
        <v>0</v>
      </c>
      <c r="R70" s="105">
        <f t="shared" si="7"/>
        <v>0</v>
      </c>
    </row>
    <row r="71" spans="2:18" ht="15.75" x14ac:dyDescent="0.25">
      <c r="B71" s="31">
        <v>46</v>
      </c>
      <c r="C71" s="36" t="s">
        <v>22</v>
      </c>
      <c r="D71" s="31">
        <v>1</v>
      </c>
      <c r="E71" s="31">
        <v>2</v>
      </c>
      <c r="F71" s="31">
        <v>811</v>
      </c>
      <c r="G71" s="31">
        <f>(201.6+26.38+38.94)</f>
        <v>266.91999999999996</v>
      </c>
      <c r="H71" s="39">
        <f t="shared" si="9"/>
        <v>5.4408000000000005E-2</v>
      </c>
      <c r="I71" s="14"/>
      <c r="J71" s="104"/>
      <c r="K71" s="100"/>
      <c r="L71" s="25">
        <f>J71+J71*K71</f>
        <v>0</v>
      </c>
      <c r="M71" s="25">
        <f t="shared" si="5"/>
        <v>0</v>
      </c>
      <c r="N71" s="29"/>
      <c r="O71" s="105"/>
      <c r="P71" s="101"/>
      <c r="Q71" s="25">
        <f t="shared" si="6"/>
        <v>0</v>
      </c>
      <c r="R71" s="105">
        <f t="shared" si="7"/>
        <v>0</v>
      </c>
    </row>
    <row r="72" spans="2:18" ht="15.75" x14ac:dyDescent="0.25">
      <c r="B72" s="31">
        <v>47</v>
      </c>
      <c r="C72" s="36" t="s">
        <v>11</v>
      </c>
      <c r="D72" s="31">
        <v>0</v>
      </c>
      <c r="E72" s="31">
        <v>3</v>
      </c>
      <c r="F72" s="31">
        <v>1543.8</v>
      </c>
      <c r="G72" s="31">
        <f>(355.26 + 14.01)</f>
        <v>369.27</v>
      </c>
      <c r="H72" s="39">
        <f t="shared" si="9"/>
        <v>0.117453</v>
      </c>
      <c r="I72" s="14"/>
      <c r="J72" s="104"/>
      <c r="K72" s="100"/>
      <c r="L72" s="25">
        <f>J72+J72*K72</f>
        <v>0</v>
      </c>
      <c r="M72" s="25">
        <f t="shared" si="5"/>
        <v>0</v>
      </c>
      <c r="N72" s="29"/>
      <c r="O72" s="105"/>
      <c r="P72" s="101"/>
      <c r="Q72" s="25">
        <f t="shared" si="6"/>
        <v>0</v>
      </c>
      <c r="R72" s="105">
        <f t="shared" si="7"/>
        <v>0</v>
      </c>
    </row>
    <row r="73" spans="2:18" ht="15.75" x14ac:dyDescent="0.25">
      <c r="B73" s="31">
        <v>48</v>
      </c>
      <c r="C73" s="36" t="s">
        <v>47</v>
      </c>
      <c r="D73" s="31">
        <v>0</v>
      </c>
      <c r="E73" s="31">
        <v>5</v>
      </c>
      <c r="F73" s="31">
        <v>1455</v>
      </c>
      <c r="G73" s="31">
        <f>(204.17+204.95+209.43+7)</f>
        <v>625.54999999999995</v>
      </c>
      <c r="H73" s="39">
        <f t="shared" si="9"/>
        <v>8.2945000000000005E-2</v>
      </c>
      <c r="I73" s="14"/>
      <c r="J73" s="104"/>
      <c r="K73" s="100"/>
      <c r="L73" s="25">
        <f>J73+J73*K73</f>
        <v>0</v>
      </c>
      <c r="M73" s="25">
        <f t="shared" si="5"/>
        <v>0</v>
      </c>
      <c r="N73" s="29"/>
      <c r="O73" s="105"/>
      <c r="P73" s="101"/>
      <c r="Q73" s="25">
        <f t="shared" si="6"/>
        <v>0</v>
      </c>
      <c r="R73" s="105">
        <f t="shared" si="7"/>
        <v>0</v>
      </c>
    </row>
    <row r="74" spans="2:18" ht="15.75" x14ac:dyDescent="0.25">
      <c r="B74" s="31">
        <v>49</v>
      </c>
      <c r="C74" s="36" t="s">
        <v>48</v>
      </c>
      <c r="D74" s="31">
        <v>0</v>
      </c>
      <c r="E74" s="31">
        <v>2</v>
      </c>
      <c r="F74" s="31">
        <v>1099</v>
      </c>
      <c r="G74" s="31">
        <v>195.5</v>
      </c>
      <c r="H74" s="39">
        <f t="shared" si="9"/>
        <v>9.035E-2</v>
      </c>
      <c r="I74" s="14"/>
      <c r="J74" s="104"/>
      <c r="K74" s="100"/>
      <c r="L74" s="25">
        <f>J74+J74*K74</f>
        <v>0</v>
      </c>
      <c r="M74" s="25">
        <f t="shared" si="5"/>
        <v>0</v>
      </c>
      <c r="N74" s="29"/>
      <c r="O74" s="105"/>
      <c r="P74" s="101"/>
      <c r="Q74" s="25">
        <f t="shared" si="6"/>
        <v>0</v>
      </c>
      <c r="R74" s="105">
        <f t="shared" si="7"/>
        <v>0</v>
      </c>
    </row>
    <row r="75" spans="2:18" ht="15.75" x14ac:dyDescent="0.25">
      <c r="B75" s="31">
        <v>50</v>
      </c>
      <c r="C75" s="36" t="s">
        <v>37</v>
      </c>
      <c r="D75" s="31">
        <v>0</v>
      </c>
      <c r="E75" s="31">
        <v>2</v>
      </c>
      <c r="F75" s="31">
        <v>659</v>
      </c>
      <c r="G75" s="31">
        <f>(178.53+21.11)</f>
        <v>199.64</v>
      </c>
      <c r="H75" s="39">
        <f t="shared" si="9"/>
        <v>4.5936000000000005E-2</v>
      </c>
      <c r="I75" s="14"/>
      <c r="J75" s="104"/>
      <c r="K75" s="100"/>
      <c r="L75" s="25">
        <f>J75+J75*K75</f>
        <v>0</v>
      </c>
      <c r="M75" s="25">
        <f t="shared" si="5"/>
        <v>0</v>
      </c>
      <c r="N75" s="29"/>
      <c r="O75" s="105"/>
      <c r="P75" s="101"/>
      <c r="Q75" s="25">
        <f t="shared" si="6"/>
        <v>0</v>
      </c>
      <c r="R75" s="105">
        <f t="shared" si="7"/>
        <v>0</v>
      </c>
    </row>
    <row r="76" spans="2:18" ht="15.75" x14ac:dyDescent="0.25">
      <c r="B76" s="47"/>
      <c r="C76" s="47"/>
      <c r="D76" s="47"/>
      <c r="E76" s="47"/>
      <c r="F76" s="47"/>
      <c r="G76" s="47"/>
      <c r="H76" s="46">
        <f>SUM(H23:H75)</f>
        <v>4.0069250000000007</v>
      </c>
      <c r="I76" s="17"/>
      <c r="J76" s="183" t="s">
        <v>78</v>
      </c>
      <c r="K76" s="184"/>
      <c r="L76" s="184"/>
      <c r="M76" s="184"/>
      <c r="N76" s="85"/>
      <c r="O76" s="182" t="s">
        <v>78</v>
      </c>
      <c r="P76" s="182"/>
      <c r="Q76" s="182"/>
      <c r="R76" s="182"/>
    </row>
    <row r="77" spans="2:18" ht="15.75" x14ac:dyDescent="0.25">
      <c r="B77" s="47"/>
      <c r="C77" s="47"/>
      <c r="D77" s="47"/>
      <c r="E77" s="47"/>
      <c r="F77" s="47"/>
      <c r="G77" s="47"/>
      <c r="H77" s="92"/>
      <c r="I77" s="17"/>
      <c r="J77" s="185" t="s">
        <v>87</v>
      </c>
      <c r="K77" s="186"/>
      <c r="L77" s="187"/>
      <c r="M77" s="87">
        <f>SUM(M23:M75)</f>
        <v>0</v>
      </c>
      <c r="N77" s="85"/>
      <c r="O77" s="185" t="s">
        <v>88</v>
      </c>
      <c r="P77" s="186"/>
      <c r="Q77" s="187"/>
      <c r="R77" s="110">
        <f>SUM(R23:R75)</f>
        <v>0</v>
      </c>
    </row>
    <row r="79" spans="2:18" ht="33" customHeight="1" x14ac:dyDescent="0.25">
      <c r="J79" s="128" t="s">
        <v>90</v>
      </c>
      <c r="K79" s="129"/>
      <c r="L79" s="129"/>
      <c r="M79" s="129"/>
      <c r="N79" s="129"/>
      <c r="O79" s="129"/>
      <c r="P79" s="129"/>
      <c r="Q79" s="129"/>
      <c r="R79" s="129"/>
    </row>
    <row r="80" spans="2:18" x14ac:dyDescent="0.25">
      <c r="J80" s="130">
        <f>M77+R77</f>
        <v>0</v>
      </c>
      <c r="K80" s="131"/>
      <c r="L80" s="131"/>
      <c r="M80" s="131"/>
      <c r="N80" s="131"/>
      <c r="O80" s="131"/>
      <c r="P80" s="131"/>
      <c r="Q80" s="131"/>
      <c r="R80" s="131"/>
    </row>
    <row r="82" spans="2:18" ht="42" customHeight="1" x14ac:dyDescent="0.25">
      <c r="B82" s="122" t="s">
        <v>83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4" spans="2:18" ht="69" customHeight="1" x14ac:dyDescent="0.25">
      <c r="B84" s="176" t="s">
        <v>85</v>
      </c>
      <c r="C84" s="177"/>
      <c r="D84" s="177"/>
      <c r="E84" s="177"/>
      <c r="F84" s="177"/>
      <c r="G84" s="177"/>
      <c r="H84" s="178"/>
      <c r="I84" s="68"/>
      <c r="J84" s="121" t="s">
        <v>84</v>
      </c>
      <c r="K84" s="121"/>
      <c r="L84" s="121"/>
      <c r="M84" s="121"/>
      <c r="N84" s="121"/>
      <c r="O84" s="121"/>
      <c r="P84" s="121"/>
      <c r="Q84" s="121"/>
      <c r="R84" s="121"/>
    </row>
    <row r="85" spans="2:18" ht="45" x14ac:dyDescent="0.25">
      <c r="B85" s="174" t="s">
        <v>0</v>
      </c>
      <c r="C85" s="174" t="s">
        <v>1</v>
      </c>
      <c r="D85" s="175" t="s">
        <v>50</v>
      </c>
      <c r="E85" s="165"/>
      <c r="F85" s="69" t="s">
        <v>73</v>
      </c>
      <c r="G85" s="69" t="s">
        <v>74</v>
      </c>
      <c r="H85" s="69" t="s">
        <v>46</v>
      </c>
      <c r="I85" s="70"/>
      <c r="J85" s="21" t="s">
        <v>62</v>
      </c>
      <c r="K85" s="71" t="s">
        <v>63</v>
      </c>
      <c r="L85" s="21" t="s">
        <v>62</v>
      </c>
      <c r="M85" s="21" t="s">
        <v>62</v>
      </c>
      <c r="N85" s="26"/>
      <c r="O85" s="21" t="s">
        <v>65</v>
      </c>
      <c r="P85" s="71" t="s">
        <v>63</v>
      </c>
      <c r="Q85" s="20" t="s">
        <v>65</v>
      </c>
      <c r="R85" s="20" t="s">
        <v>65</v>
      </c>
    </row>
    <row r="86" spans="2:18" ht="30" x14ac:dyDescent="0.25">
      <c r="B86" s="152"/>
      <c r="C86" s="152"/>
      <c r="D86" s="72" t="s">
        <v>51</v>
      </c>
      <c r="E86" s="72" t="s">
        <v>52</v>
      </c>
      <c r="F86" s="73"/>
      <c r="G86" s="69"/>
      <c r="H86" s="73"/>
      <c r="I86" s="70"/>
      <c r="J86" s="22" t="s">
        <v>61</v>
      </c>
      <c r="K86" s="22" t="s">
        <v>64</v>
      </c>
      <c r="L86" s="24" t="s">
        <v>66</v>
      </c>
      <c r="M86" s="24" t="s">
        <v>86</v>
      </c>
      <c r="N86" s="27"/>
      <c r="O86" s="22" t="s">
        <v>61</v>
      </c>
      <c r="P86" s="22" t="s">
        <v>64</v>
      </c>
      <c r="Q86" s="23" t="s">
        <v>66</v>
      </c>
      <c r="R86" s="23" t="s">
        <v>86</v>
      </c>
    </row>
    <row r="87" spans="2:18" ht="15.75" x14ac:dyDescent="0.25">
      <c r="B87" s="2">
        <v>1</v>
      </c>
      <c r="C87" s="3" t="s">
        <v>58</v>
      </c>
      <c r="D87" s="1">
        <v>0</v>
      </c>
      <c r="E87" s="1">
        <v>1</v>
      </c>
      <c r="F87" s="1">
        <v>4376</v>
      </c>
      <c r="G87" s="1">
        <v>1361</v>
      </c>
      <c r="H87" s="6">
        <f>((F87-G87)/10000)</f>
        <v>0.30149999999999999</v>
      </c>
      <c r="I87" s="12"/>
      <c r="J87" s="112"/>
      <c r="K87" s="112"/>
      <c r="L87" s="112"/>
      <c r="M87" s="112"/>
      <c r="N87" s="29"/>
      <c r="O87" s="105"/>
      <c r="P87" s="107"/>
      <c r="Q87" s="25">
        <f t="shared" ref="Q87" si="10">O87+O87*P87</f>
        <v>0</v>
      </c>
      <c r="R87" s="105">
        <f>Q87*12</f>
        <v>0</v>
      </c>
    </row>
    <row r="88" spans="2:18" ht="15.75" x14ac:dyDescent="0.25">
      <c r="B88" s="88"/>
      <c r="C88" s="89"/>
      <c r="D88" s="90"/>
      <c r="E88" s="90"/>
      <c r="F88" s="90"/>
      <c r="G88" s="90"/>
      <c r="H88" s="8">
        <f>SUM(H87:H87)</f>
        <v>0.30149999999999999</v>
      </c>
      <c r="I88" s="12"/>
      <c r="J88" s="132" t="s">
        <v>78</v>
      </c>
      <c r="K88" s="133"/>
      <c r="L88" s="133"/>
      <c r="M88" s="134"/>
      <c r="N88" s="29"/>
      <c r="O88" s="123" t="s">
        <v>78</v>
      </c>
      <c r="P88" s="124"/>
      <c r="Q88" s="124"/>
      <c r="R88" s="125"/>
    </row>
    <row r="89" spans="2:18" ht="15.75" x14ac:dyDescent="0.25">
      <c r="B89" s="88"/>
      <c r="C89" s="89"/>
      <c r="D89" s="90"/>
      <c r="E89" s="90"/>
      <c r="F89" s="90"/>
      <c r="G89" s="90"/>
      <c r="H89" s="91"/>
      <c r="I89" s="12"/>
      <c r="J89" s="118" t="s">
        <v>87</v>
      </c>
      <c r="K89" s="119"/>
      <c r="L89" s="120"/>
      <c r="M89" s="79">
        <f>SUM(M87)</f>
        <v>0</v>
      </c>
      <c r="N89" s="29"/>
      <c r="O89" s="118" t="s">
        <v>88</v>
      </c>
      <c r="P89" s="119"/>
      <c r="Q89" s="120"/>
      <c r="R89" s="111">
        <f>SUM(R87)</f>
        <v>0</v>
      </c>
    </row>
    <row r="90" spans="2:18" ht="15.75" x14ac:dyDescent="0.25">
      <c r="B90" s="88"/>
      <c r="C90" s="89"/>
      <c r="D90" s="90"/>
      <c r="E90" s="90"/>
      <c r="F90" s="90"/>
      <c r="G90" s="90"/>
      <c r="H90" s="91"/>
      <c r="I90" s="12"/>
      <c r="J90" s="93"/>
      <c r="K90" s="94"/>
      <c r="L90" s="93"/>
      <c r="M90" s="93"/>
      <c r="N90" s="19"/>
      <c r="O90" s="93"/>
      <c r="P90" s="19"/>
      <c r="Q90" s="93"/>
    </row>
    <row r="91" spans="2:18" ht="27.75" customHeight="1" x14ac:dyDescent="0.25">
      <c r="J91" s="113" t="s">
        <v>91</v>
      </c>
      <c r="K91" s="114"/>
      <c r="L91" s="114"/>
      <c r="M91" s="114"/>
      <c r="N91" s="114"/>
      <c r="O91" s="114"/>
      <c r="P91" s="114"/>
      <c r="Q91" s="114"/>
      <c r="R91" s="114"/>
    </row>
    <row r="92" spans="2:18" x14ac:dyDescent="0.25">
      <c r="J92" s="115">
        <f>M89+R89</f>
        <v>0</v>
      </c>
      <c r="K92" s="114"/>
      <c r="L92" s="114"/>
      <c r="M92" s="114"/>
      <c r="N92" s="114"/>
      <c r="O92" s="114"/>
      <c r="P92" s="114"/>
      <c r="Q92" s="114"/>
      <c r="R92" s="114"/>
    </row>
    <row r="94" spans="2:18" ht="122.25" customHeight="1" x14ac:dyDescent="0.25">
      <c r="B94" s="116" t="s">
        <v>93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</row>
  </sheetData>
  <mergeCells count="71">
    <mergeCell ref="F49:F51"/>
    <mergeCell ref="H49:H51"/>
    <mergeCell ref="O76:R76"/>
    <mergeCell ref="J76:M76"/>
    <mergeCell ref="J77:L77"/>
    <mergeCell ref="O77:Q77"/>
    <mergeCell ref="H31:H33"/>
    <mergeCell ref="F46:F47"/>
    <mergeCell ref="G46:G47"/>
    <mergeCell ref="H46:H47"/>
    <mergeCell ref="F44:F45"/>
    <mergeCell ref="G44:G45"/>
    <mergeCell ref="H44:H45"/>
    <mergeCell ref="H34:H35"/>
    <mergeCell ref="F42:F43"/>
    <mergeCell ref="F34:F35"/>
    <mergeCell ref="G34:G35"/>
    <mergeCell ref="G42:G43"/>
    <mergeCell ref="H42:H43"/>
    <mergeCell ref="B2:R2"/>
    <mergeCell ref="B85:B86"/>
    <mergeCell ref="C85:C86"/>
    <mergeCell ref="D85:E85"/>
    <mergeCell ref="B84:H84"/>
    <mergeCell ref="B53:B56"/>
    <mergeCell ref="F53:F56"/>
    <mergeCell ref="G53:G56"/>
    <mergeCell ref="H53:H56"/>
    <mergeCell ref="F61:F67"/>
    <mergeCell ref="G61:G67"/>
    <mergeCell ref="H61:H67"/>
    <mergeCell ref="F59:F60"/>
    <mergeCell ref="H59:H60"/>
    <mergeCell ref="B20:H20"/>
    <mergeCell ref="C21:C22"/>
    <mergeCell ref="B5:H5"/>
    <mergeCell ref="D6:E6"/>
    <mergeCell ref="C6:C7"/>
    <mergeCell ref="J5:R5"/>
    <mergeCell ref="B3:R3"/>
    <mergeCell ref="J16:R16"/>
    <mergeCell ref="F6:F7"/>
    <mergeCell ref="G6:G7"/>
    <mergeCell ref="H6:H7"/>
    <mergeCell ref="B6:B7"/>
    <mergeCell ref="J12:M12"/>
    <mergeCell ref="J13:L13"/>
    <mergeCell ref="O12:R12"/>
    <mergeCell ref="O13:Q13"/>
    <mergeCell ref="J15:R15"/>
    <mergeCell ref="B82:R82"/>
    <mergeCell ref="O88:R88"/>
    <mergeCell ref="O89:Q89"/>
    <mergeCell ref="J20:R20"/>
    <mergeCell ref="B18:R18"/>
    <mergeCell ref="J79:R79"/>
    <mergeCell ref="J80:R80"/>
    <mergeCell ref="J88:M88"/>
    <mergeCell ref="B21:B22"/>
    <mergeCell ref="F21:F22"/>
    <mergeCell ref="G21:G22"/>
    <mergeCell ref="D21:E21"/>
    <mergeCell ref="H21:H22"/>
    <mergeCell ref="F28:F30"/>
    <mergeCell ref="H28:H30"/>
    <mergeCell ref="F31:F33"/>
    <mergeCell ref="J91:R91"/>
    <mergeCell ref="J92:R92"/>
    <mergeCell ref="B94:R94"/>
    <mergeCell ref="J89:L89"/>
    <mergeCell ref="J84:R8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KALKULACJA CENY</vt:lpstr>
      <vt:lpstr>'fORMULARZ KALKULACJA CENY'!Obszar_wydruku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2023-11-03T07:28:54Z</dcterms:modified>
</cp:coreProperties>
</file>