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Formularz cenowy" sheetId="2" r:id="rId1"/>
    <sheet name="Taryfa PSG" sheetId="3" r:id="rId2"/>
  </sheets>
  <definedNames>
    <definedName name="_xlnm._FilterDatabase" localSheetId="0" hidden="1">'Formularz cenowy'!$B$8:$AD$40</definedName>
  </definedNames>
  <calcPr calcId="145621"/>
</workbook>
</file>

<file path=xl/calcChain.xml><?xml version="1.0" encoding="utf-8"?>
<calcChain xmlns="http://schemas.openxmlformats.org/spreadsheetml/2006/main">
  <c r="X77" i="2" l="1"/>
  <c r="Y77" i="2" s="1"/>
  <c r="V77" i="2"/>
  <c r="U77" i="2"/>
  <c r="N77" i="2"/>
  <c r="F77" i="2"/>
  <c r="X76" i="2"/>
  <c r="Y76" i="2" s="1"/>
  <c r="V76" i="2"/>
  <c r="U76" i="2"/>
  <c r="N76" i="2"/>
  <c r="F76" i="2"/>
  <c r="X75" i="2"/>
  <c r="Y75" i="2" s="1"/>
  <c r="V75" i="2"/>
  <c r="U75" i="2"/>
  <c r="N75" i="2"/>
  <c r="F75" i="2"/>
  <c r="X74" i="2"/>
  <c r="Y74" i="2" s="1"/>
  <c r="V74" i="2"/>
  <c r="U74" i="2"/>
  <c r="N74" i="2"/>
  <c r="F74" i="2"/>
  <c r="X73" i="2"/>
  <c r="Y73" i="2" s="1"/>
  <c r="V73" i="2"/>
  <c r="U73" i="2"/>
  <c r="N73" i="2"/>
  <c r="F73" i="2"/>
  <c r="X72" i="2"/>
  <c r="Y72" i="2" s="1"/>
  <c r="V72" i="2"/>
  <c r="U72" i="2"/>
  <c r="N72" i="2"/>
  <c r="F72" i="2"/>
  <c r="X71" i="2"/>
  <c r="Y71" i="2" s="1"/>
  <c r="V71" i="2"/>
  <c r="U71" i="2"/>
  <c r="N71" i="2"/>
  <c r="W71" i="2" s="1"/>
  <c r="F71" i="2"/>
  <c r="X70" i="2"/>
  <c r="Y70" i="2" s="1"/>
  <c r="V70" i="2"/>
  <c r="U70" i="2"/>
  <c r="N70" i="2"/>
  <c r="F70" i="2"/>
  <c r="X69" i="2"/>
  <c r="Y69" i="2" s="1"/>
  <c r="V69" i="2"/>
  <c r="U69" i="2"/>
  <c r="N69" i="2"/>
  <c r="F69" i="2"/>
  <c r="X68" i="2"/>
  <c r="Y68" i="2" s="1"/>
  <c r="V68" i="2"/>
  <c r="U68" i="2"/>
  <c r="N68" i="2"/>
  <c r="F68" i="2"/>
  <c r="X67" i="2"/>
  <c r="Y67" i="2" s="1"/>
  <c r="V67" i="2"/>
  <c r="U67" i="2"/>
  <c r="N67" i="2"/>
  <c r="F67" i="2"/>
  <c r="X66" i="2"/>
  <c r="Y66" i="2" s="1"/>
  <c r="V66" i="2"/>
  <c r="U66" i="2"/>
  <c r="N66" i="2"/>
  <c r="F66" i="2"/>
  <c r="X65" i="2"/>
  <c r="Y65" i="2" s="1"/>
  <c r="V65" i="2"/>
  <c r="U65" i="2"/>
  <c r="N65" i="2"/>
  <c r="F65" i="2"/>
  <c r="X64" i="2"/>
  <c r="Y64" i="2" s="1"/>
  <c r="V64" i="2"/>
  <c r="U64" i="2"/>
  <c r="N64" i="2"/>
  <c r="F64" i="2"/>
  <c r="X63" i="2"/>
  <c r="Y63" i="2" s="1"/>
  <c r="V63" i="2"/>
  <c r="U63" i="2"/>
  <c r="N63" i="2"/>
  <c r="F63" i="2"/>
  <c r="X62" i="2"/>
  <c r="Y62" i="2" s="1"/>
  <c r="V62" i="2"/>
  <c r="U62" i="2"/>
  <c r="N62" i="2"/>
  <c r="F62" i="2"/>
  <c r="X61" i="2"/>
  <c r="Y61" i="2" s="1"/>
  <c r="V61" i="2"/>
  <c r="U61" i="2"/>
  <c r="N61" i="2"/>
  <c r="F61" i="2"/>
  <c r="X60" i="2"/>
  <c r="Y60" i="2" s="1"/>
  <c r="V60" i="2"/>
  <c r="U60" i="2"/>
  <c r="N60" i="2"/>
  <c r="F60" i="2"/>
  <c r="X59" i="2"/>
  <c r="Y59" i="2" s="1"/>
  <c r="V59" i="2"/>
  <c r="U59" i="2"/>
  <c r="N59" i="2"/>
  <c r="F59" i="2"/>
  <c r="X58" i="2"/>
  <c r="Y58" i="2" s="1"/>
  <c r="V58" i="2"/>
  <c r="U58" i="2"/>
  <c r="N58" i="2"/>
  <c r="F58" i="2"/>
  <c r="X57" i="2"/>
  <c r="Y57" i="2" s="1"/>
  <c r="V57" i="2"/>
  <c r="U57" i="2"/>
  <c r="N57" i="2"/>
  <c r="F57" i="2"/>
  <c r="X56" i="2"/>
  <c r="Y56" i="2" s="1"/>
  <c r="V56" i="2"/>
  <c r="U56" i="2"/>
  <c r="N56" i="2"/>
  <c r="F56" i="2"/>
  <c r="X55" i="2"/>
  <c r="Y55" i="2" s="1"/>
  <c r="V55" i="2"/>
  <c r="U55" i="2"/>
  <c r="N55" i="2"/>
  <c r="F55" i="2"/>
  <c r="X54" i="2"/>
  <c r="Y54" i="2" s="1"/>
  <c r="V54" i="2"/>
  <c r="U54" i="2"/>
  <c r="N54" i="2"/>
  <c r="F54" i="2"/>
  <c r="X53" i="2"/>
  <c r="Y53" i="2" s="1"/>
  <c r="V53" i="2"/>
  <c r="U53" i="2"/>
  <c r="N53" i="2"/>
  <c r="F53" i="2"/>
  <c r="X52" i="2"/>
  <c r="Y52" i="2" s="1"/>
  <c r="V52" i="2"/>
  <c r="U52" i="2"/>
  <c r="N52" i="2"/>
  <c r="F52" i="2"/>
  <c r="X51" i="2"/>
  <c r="Y51" i="2" s="1"/>
  <c r="V51" i="2"/>
  <c r="U51" i="2"/>
  <c r="N51" i="2"/>
  <c r="F51" i="2"/>
  <c r="X50" i="2"/>
  <c r="Y50" i="2" s="1"/>
  <c r="V50" i="2"/>
  <c r="U50" i="2"/>
  <c r="N50" i="2"/>
  <c r="F50" i="2"/>
  <c r="X49" i="2"/>
  <c r="Y49" i="2" s="1"/>
  <c r="V49" i="2"/>
  <c r="U49" i="2"/>
  <c r="N49" i="2"/>
  <c r="F49" i="2"/>
  <c r="X48" i="2"/>
  <c r="Y48" i="2" s="1"/>
  <c r="V48" i="2"/>
  <c r="U48" i="2"/>
  <c r="N48" i="2"/>
  <c r="F48" i="2"/>
  <c r="X47" i="2"/>
  <c r="Y47" i="2" s="1"/>
  <c r="V47" i="2"/>
  <c r="U47" i="2"/>
  <c r="N47" i="2"/>
  <c r="F47" i="2"/>
  <c r="X30" i="2"/>
  <c r="Y30" i="2" s="1"/>
  <c r="V30" i="2"/>
  <c r="U30" i="2"/>
  <c r="N30" i="2"/>
  <c r="F30" i="2"/>
  <c r="X29" i="2"/>
  <c r="Y29" i="2" s="1"/>
  <c r="V29" i="2"/>
  <c r="U29" i="2"/>
  <c r="N29" i="2"/>
  <c r="F29" i="2"/>
  <c r="X28" i="2"/>
  <c r="Y28" i="2" s="1"/>
  <c r="V28" i="2"/>
  <c r="U28" i="2"/>
  <c r="N28" i="2"/>
  <c r="F28" i="2"/>
  <c r="X27" i="2"/>
  <c r="Y27" i="2" s="1"/>
  <c r="V27" i="2"/>
  <c r="U27" i="2"/>
  <c r="N27" i="2"/>
  <c r="F27" i="2"/>
  <c r="X26" i="2"/>
  <c r="Y26" i="2" s="1"/>
  <c r="V26" i="2"/>
  <c r="U26" i="2"/>
  <c r="N26" i="2"/>
  <c r="F26" i="2"/>
  <c r="X25" i="2"/>
  <c r="Y25" i="2" s="1"/>
  <c r="V25" i="2"/>
  <c r="U25" i="2"/>
  <c r="N25" i="2"/>
  <c r="F25" i="2"/>
  <c r="X24" i="2"/>
  <c r="Y24" i="2" s="1"/>
  <c r="V24" i="2"/>
  <c r="U24" i="2"/>
  <c r="N24" i="2"/>
  <c r="F24" i="2"/>
  <c r="X23" i="2"/>
  <c r="Y23" i="2" s="1"/>
  <c r="V23" i="2"/>
  <c r="U23" i="2"/>
  <c r="N23" i="2"/>
  <c r="F23" i="2"/>
  <c r="X22" i="2"/>
  <c r="Y22" i="2" s="1"/>
  <c r="V22" i="2"/>
  <c r="U22" i="2"/>
  <c r="N22" i="2"/>
  <c r="F22" i="2"/>
  <c r="X11" i="2"/>
  <c r="Y11" i="2" s="1"/>
  <c r="V11" i="2"/>
  <c r="U11" i="2"/>
  <c r="N11" i="2"/>
  <c r="F11" i="2"/>
  <c r="W67" i="2" l="1"/>
  <c r="W75" i="2"/>
  <c r="Z75" i="2" s="1"/>
  <c r="AA75" i="2" s="1"/>
  <c r="AC75" i="2" s="1"/>
  <c r="AD75" i="2" s="1"/>
  <c r="W48" i="2"/>
  <c r="Z48" i="2" s="1"/>
  <c r="AA48" i="2" s="1"/>
  <c r="AC48" i="2" s="1"/>
  <c r="AD48" i="2" s="1"/>
  <c r="W62" i="2"/>
  <c r="Z62" i="2" s="1"/>
  <c r="AA62" i="2" s="1"/>
  <c r="AC62" i="2" s="1"/>
  <c r="AD62" i="2" s="1"/>
  <c r="W64" i="2"/>
  <c r="Z64" i="2" s="1"/>
  <c r="AA64" i="2" s="1"/>
  <c r="AC64" i="2" s="1"/>
  <c r="AD64" i="2" s="1"/>
  <c r="W70" i="2"/>
  <c r="Z70" i="2" s="1"/>
  <c r="AA70" i="2" s="1"/>
  <c r="AC70" i="2" s="1"/>
  <c r="AD70" i="2" s="1"/>
  <c r="W68" i="2"/>
  <c r="Z68" i="2" s="1"/>
  <c r="AA68" i="2" s="1"/>
  <c r="AC68" i="2" s="1"/>
  <c r="AD68" i="2" s="1"/>
  <c r="W49" i="2"/>
  <c r="Z49" i="2" s="1"/>
  <c r="AA49" i="2" s="1"/>
  <c r="AC49" i="2" s="1"/>
  <c r="AD49" i="2" s="1"/>
  <c r="W51" i="2"/>
  <c r="Z51" i="2" s="1"/>
  <c r="AA51" i="2" s="1"/>
  <c r="AC51" i="2" s="1"/>
  <c r="AD51" i="2" s="1"/>
  <c r="Z67" i="2"/>
  <c r="AA67" i="2" s="1"/>
  <c r="AC67" i="2" s="1"/>
  <c r="AD67" i="2" s="1"/>
  <c r="W56" i="2"/>
  <c r="Z56" i="2" s="1"/>
  <c r="AA56" i="2" s="1"/>
  <c r="AC56" i="2" s="1"/>
  <c r="AD56" i="2" s="1"/>
  <c r="W58" i="2"/>
  <c r="Z58" i="2" s="1"/>
  <c r="AA58" i="2" s="1"/>
  <c r="AC58" i="2" s="1"/>
  <c r="AD58" i="2" s="1"/>
  <c r="W55" i="2"/>
  <c r="Z55" i="2" s="1"/>
  <c r="AA55" i="2" s="1"/>
  <c r="AC55" i="2" s="1"/>
  <c r="AD55" i="2" s="1"/>
  <c r="W59" i="2"/>
  <c r="Z59" i="2" s="1"/>
  <c r="AA59" i="2" s="1"/>
  <c r="AC59" i="2" s="1"/>
  <c r="AD59" i="2" s="1"/>
  <c r="W65" i="2"/>
  <c r="Z65" i="2" s="1"/>
  <c r="AA65" i="2" s="1"/>
  <c r="AC65" i="2" s="1"/>
  <c r="AD65" i="2" s="1"/>
  <c r="W72" i="2"/>
  <c r="Z72" i="2" s="1"/>
  <c r="AA72" i="2" s="1"/>
  <c r="AC72" i="2" s="1"/>
  <c r="AD72" i="2" s="1"/>
  <c r="W52" i="2"/>
  <c r="Z52" i="2" s="1"/>
  <c r="AA52" i="2" s="1"/>
  <c r="AC52" i="2" s="1"/>
  <c r="AD52" i="2" s="1"/>
  <c r="W47" i="2"/>
  <c r="Z47" i="2" s="1"/>
  <c r="AA47" i="2" s="1"/>
  <c r="W50" i="2"/>
  <c r="Z50" i="2" s="1"/>
  <c r="AA50" i="2" s="1"/>
  <c r="AC50" i="2" s="1"/>
  <c r="AD50" i="2" s="1"/>
  <c r="W60" i="2"/>
  <c r="Z60" i="2" s="1"/>
  <c r="AA60" i="2" s="1"/>
  <c r="AC60" i="2" s="1"/>
  <c r="AD60" i="2" s="1"/>
  <c r="W74" i="2"/>
  <c r="Z74" i="2" s="1"/>
  <c r="AA74" i="2" s="1"/>
  <c r="AC74" i="2" s="1"/>
  <c r="AD74" i="2" s="1"/>
  <c r="W53" i="2"/>
  <c r="Z53" i="2" s="1"/>
  <c r="AA53" i="2" s="1"/>
  <c r="AC53" i="2" s="1"/>
  <c r="AD53" i="2" s="1"/>
  <c r="W54" i="2"/>
  <c r="Z54" i="2" s="1"/>
  <c r="AA54" i="2" s="1"/>
  <c r="AC54" i="2" s="1"/>
  <c r="AD54" i="2" s="1"/>
  <c r="W57" i="2"/>
  <c r="Z57" i="2" s="1"/>
  <c r="AA57" i="2" s="1"/>
  <c r="AC57" i="2" s="1"/>
  <c r="AD57" i="2" s="1"/>
  <c r="W63" i="2"/>
  <c r="Z63" i="2" s="1"/>
  <c r="AA63" i="2" s="1"/>
  <c r="AC63" i="2" s="1"/>
  <c r="AD63" i="2" s="1"/>
  <c r="W77" i="2"/>
  <c r="Z77" i="2" s="1"/>
  <c r="AA77" i="2" s="1"/>
  <c r="AC77" i="2" s="1"/>
  <c r="AD77" i="2" s="1"/>
  <c r="W66" i="2"/>
  <c r="Z66" i="2" s="1"/>
  <c r="AA66" i="2" s="1"/>
  <c r="AC66" i="2" s="1"/>
  <c r="AD66" i="2" s="1"/>
  <c r="W69" i="2"/>
  <c r="Z69" i="2" s="1"/>
  <c r="AA69" i="2" s="1"/>
  <c r="AC69" i="2" s="1"/>
  <c r="AD69" i="2" s="1"/>
  <c r="W76" i="2"/>
  <c r="Z76" i="2" s="1"/>
  <c r="AA76" i="2" s="1"/>
  <c r="AC76" i="2" s="1"/>
  <c r="AD76" i="2" s="1"/>
  <c r="W61" i="2"/>
  <c r="Z61" i="2" s="1"/>
  <c r="AA61" i="2" s="1"/>
  <c r="AC61" i="2" s="1"/>
  <c r="AD61" i="2" s="1"/>
  <c r="W73" i="2"/>
  <c r="Z73" i="2" s="1"/>
  <c r="AA73" i="2" s="1"/>
  <c r="AC73" i="2" s="1"/>
  <c r="AD73" i="2" s="1"/>
  <c r="Z71" i="2"/>
  <c r="AA71" i="2" s="1"/>
  <c r="AC71" i="2" s="1"/>
  <c r="AD71" i="2" s="1"/>
  <c r="W28" i="2"/>
  <c r="Z28" i="2" s="1"/>
  <c r="AA28" i="2" s="1"/>
  <c r="AC28" i="2" s="1"/>
  <c r="AD28" i="2" s="1"/>
  <c r="W30" i="2"/>
  <c r="Z30" i="2" s="1"/>
  <c r="AA30" i="2" s="1"/>
  <c r="AC30" i="2" s="1"/>
  <c r="AD30" i="2" s="1"/>
  <c r="W27" i="2"/>
  <c r="Z27" i="2" s="1"/>
  <c r="AA27" i="2" s="1"/>
  <c r="AC27" i="2" s="1"/>
  <c r="AD27" i="2" s="1"/>
  <c r="W24" i="2"/>
  <c r="Z24" i="2" s="1"/>
  <c r="AA24" i="2" s="1"/>
  <c r="AC24" i="2" s="1"/>
  <c r="AD24" i="2" s="1"/>
  <c r="W26" i="2"/>
  <c r="Z26" i="2" s="1"/>
  <c r="AA26" i="2" s="1"/>
  <c r="AC26" i="2" s="1"/>
  <c r="AD26" i="2" s="1"/>
  <c r="W29" i="2"/>
  <c r="Z29" i="2" s="1"/>
  <c r="AA29" i="2" s="1"/>
  <c r="AC29" i="2" s="1"/>
  <c r="AD29" i="2" s="1"/>
  <c r="W23" i="2"/>
  <c r="Z23" i="2" s="1"/>
  <c r="AA23" i="2" s="1"/>
  <c r="AC23" i="2" s="1"/>
  <c r="AD23" i="2" s="1"/>
  <c r="W25" i="2"/>
  <c r="Z25" i="2" s="1"/>
  <c r="AA25" i="2" s="1"/>
  <c r="AC25" i="2" s="1"/>
  <c r="AD25" i="2" s="1"/>
  <c r="W22" i="2"/>
  <c r="Z22" i="2" s="1"/>
  <c r="AA22" i="2" s="1"/>
  <c r="AC22" i="2" s="1"/>
  <c r="AD22" i="2" s="1"/>
  <c r="W11" i="2"/>
  <c r="Z11" i="2" s="1"/>
  <c r="AA11" i="2" s="1"/>
  <c r="AC11" i="2" s="1"/>
  <c r="AD11" i="2" s="1"/>
  <c r="AC47" i="2" l="1"/>
  <c r="AD47" i="2" s="1"/>
  <c r="AA78" i="2"/>
  <c r="X33" i="2"/>
  <c r="Y33" i="2" s="1"/>
  <c r="V33" i="2"/>
  <c r="N33" i="2"/>
  <c r="F33" i="2"/>
  <c r="X34" i="2"/>
  <c r="Y34" i="2" s="1"/>
  <c r="V34" i="2"/>
  <c r="N34" i="2"/>
  <c r="F34" i="2"/>
  <c r="X31" i="2"/>
  <c r="Y31" i="2" s="1"/>
  <c r="V31" i="2"/>
  <c r="N31" i="2"/>
  <c r="F31" i="2"/>
  <c r="X21" i="2"/>
  <c r="Y21" i="2" s="1"/>
  <c r="V21" i="2"/>
  <c r="N21" i="2"/>
  <c r="F21" i="2"/>
  <c r="X20" i="2"/>
  <c r="Y20" i="2" s="1"/>
  <c r="V20" i="2"/>
  <c r="N20" i="2"/>
  <c r="F20" i="2"/>
  <c r="X14" i="2"/>
  <c r="Y14" i="2" s="1"/>
  <c r="V14" i="2"/>
  <c r="N14" i="2"/>
  <c r="F14" i="2"/>
  <c r="X13" i="2"/>
  <c r="Y13" i="2" s="1"/>
  <c r="V13" i="2"/>
  <c r="N13" i="2"/>
  <c r="F13" i="2"/>
  <c r="U21" i="2" l="1"/>
  <c r="U34" i="2"/>
  <c r="W33" i="2"/>
  <c r="Z33" i="2" s="1"/>
  <c r="U33" i="2"/>
  <c r="U20" i="2"/>
  <c r="W34" i="2"/>
  <c r="Z34" i="2" s="1"/>
  <c r="U31" i="2"/>
  <c r="U14" i="2"/>
  <c r="U13" i="2"/>
  <c r="W21" i="2"/>
  <c r="Z21" i="2" s="1"/>
  <c r="W20" i="2"/>
  <c r="Z20" i="2" s="1"/>
  <c r="W13" i="2"/>
  <c r="Z13" i="2" s="1"/>
  <c r="W31" i="2"/>
  <c r="Z31" i="2" s="1"/>
  <c r="W14" i="2"/>
  <c r="Z14" i="2" s="1"/>
  <c r="U39" i="2"/>
  <c r="N39" i="2"/>
  <c r="X32" i="2"/>
  <c r="Y32" i="2" s="1"/>
  <c r="V32" i="2"/>
  <c r="N32" i="2"/>
  <c r="F32" i="2"/>
  <c r="X19" i="2"/>
  <c r="Y19" i="2" s="1"/>
  <c r="V19" i="2"/>
  <c r="N19" i="2"/>
  <c r="F19" i="2"/>
  <c r="X18" i="2"/>
  <c r="Y18" i="2" s="1"/>
  <c r="V18" i="2"/>
  <c r="N18" i="2"/>
  <c r="F18" i="2"/>
  <c r="N10" i="2"/>
  <c r="F10" i="2"/>
  <c r="F12" i="2"/>
  <c r="F15" i="2"/>
  <c r="F16" i="2"/>
  <c r="F17" i="2"/>
  <c r="F35" i="2"/>
  <c r="F36" i="2"/>
  <c r="F37" i="2"/>
  <c r="F38" i="2"/>
  <c r="F39" i="2"/>
  <c r="F9" i="2"/>
  <c r="AC78" i="2" l="1"/>
  <c r="AD78" i="2"/>
  <c r="AA34" i="2"/>
  <c r="AC34" i="2" s="1"/>
  <c r="AD34" i="2" s="1"/>
  <c r="AA31" i="2"/>
  <c r="AC31" i="2" s="1"/>
  <c r="AD31" i="2" s="1"/>
  <c r="AA21" i="2"/>
  <c r="AC21" i="2" s="1"/>
  <c r="AD21" i="2" s="1"/>
  <c r="AA33" i="2"/>
  <c r="AC33" i="2" s="1"/>
  <c r="AD33" i="2" s="1"/>
  <c r="AA13" i="2"/>
  <c r="AC13" i="2" s="1"/>
  <c r="AD13" i="2" s="1"/>
  <c r="AA20" i="2"/>
  <c r="AC20" i="2" s="1"/>
  <c r="AD20" i="2" s="1"/>
  <c r="AA14" i="2"/>
  <c r="AC14" i="2" s="1"/>
  <c r="AD14" i="2" s="1"/>
  <c r="U32" i="2"/>
  <c r="U19" i="2"/>
  <c r="U18" i="2"/>
  <c r="W18" i="2"/>
  <c r="Z18" i="2" s="1"/>
  <c r="W19" i="2"/>
  <c r="Z19" i="2" s="1"/>
  <c r="W32" i="2"/>
  <c r="Z32" i="2" s="1"/>
  <c r="AA32" i="2" l="1"/>
  <c r="AC32" i="2" s="1"/>
  <c r="AD32" i="2" s="1"/>
  <c r="AA18" i="2"/>
  <c r="AC18" i="2" s="1"/>
  <c r="AD18" i="2" s="1"/>
  <c r="AA19" i="2"/>
  <c r="AC19" i="2" s="1"/>
  <c r="AD19" i="2" s="1"/>
  <c r="X10" i="2" l="1"/>
  <c r="Y10" i="2" s="1"/>
  <c r="X12" i="2"/>
  <c r="Y12" i="2" s="1"/>
  <c r="X15" i="2"/>
  <c r="Y15" i="2" s="1"/>
  <c r="X16" i="2"/>
  <c r="Y16" i="2" s="1"/>
  <c r="X17" i="2"/>
  <c r="Y17" i="2" s="1"/>
  <c r="X35" i="2"/>
  <c r="Y35" i="2" s="1"/>
  <c r="X36" i="2"/>
  <c r="Y36" i="2" s="1"/>
  <c r="X37" i="2"/>
  <c r="Y37" i="2" s="1"/>
  <c r="X38" i="2"/>
  <c r="Y38" i="2" s="1"/>
  <c r="X39" i="2"/>
  <c r="Y39" i="2" s="1"/>
  <c r="V10" i="2"/>
  <c r="V12" i="2"/>
  <c r="V15" i="2"/>
  <c r="V16" i="2"/>
  <c r="V17" i="2"/>
  <c r="V35" i="2"/>
  <c r="V36" i="2"/>
  <c r="V37" i="2"/>
  <c r="V38" i="2"/>
  <c r="V39" i="2"/>
  <c r="W39" i="2" s="1"/>
  <c r="U9" i="2"/>
  <c r="X9" i="2"/>
  <c r="Y9" i="2" s="1"/>
  <c r="V9" i="2"/>
  <c r="Z39" i="2" l="1"/>
  <c r="AA39" i="2" s="1"/>
  <c r="U38" i="2"/>
  <c r="N38" i="2"/>
  <c r="W38" i="2" s="1"/>
  <c r="AC39" i="2" l="1"/>
  <c r="AD39" i="2" s="1"/>
  <c r="Z38" i="2"/>
  <c r="AA38" i="2" s="1"/>
  <c r="AC38" i="2" l="1"/>
  <c r="AD38" i="2" s="1"/>
  <c r="U15" i="2"/>
  <c r="N15" i="2"/>
  <c r="W15" i="2" s="1"/>
  <c r="U10" i="2"/>
  <c r="W10" i="2"/>
  <c r="Z15" i="2" l="1"/>
  <c r="AA15" i="2" s="1"/>
  <c r="Z10" i="2"/>
  <c r="AA10" i="2" s="1"/>
  <c r="AC10" i="2" l="1"/>
  <c r="AD10" i="2" s="1"/>
  <c r="AC15" i="2"/>
  <c r="AD15" i="2" s="1"/>
  <c r="U36" i="2"/>
  <c r="N36" i="2"/>
  <c r="W36" i="2" s="1"/>
  <c r="U17" i="2"/>
  <c r="N17" i="2"/>
  <c r="W17" i="2" s="1"/>
  <c r="U16" i="2"/>
  <c r="N16" i="2"/>
  <c r="W16" i="2" s="1"/>
  <c r="U12" i="2"/>
  <c r="N12" i="2"/>
  <c r="W12" i="2" s="1"/>
  <c r="Z36" i="2" l="1"/>
  <c r="AA36" i="2" s="1"/>
  <c r="Z17" i="2"/>
  <c r="AA17" i="2" s="1"/>
  <c r="Z16" i="2"/>
  <c r="AA16" i="2" s="1"/>
  <c r="Z12" i="2"/>
  <c r="AA12" i="2" s="1"/>
  <c r="AC36" i="2" l="1"/>
  <c r="AD36" i="2" s="1"/>
  <c r="AC12" i="2"/>
  <c r="AD12" i="2" s="1"/>
  <c r="AC16" i="2"/>
  <c r="AD16" i="2" s="1"/>
  <c r="AC17" i="2"/>
  <c r="AD17" i="2" s="1"/>
  <c r="U35" i="2" l="1"/>
  <c r="U37" i="2"/>
  <c r="N35" i="2"/>
  <c r="W35" i="2" s="1"/>
  <c r="N37" i="2"/>
  <c r="W37" i="2" s="1"/>
  <c r="N9" i="2"/>
  <c r="W9" i="2" s="1"/>
  <c r="Z9" i="2" s="1"/>
  <c r="AA9" i="2" s="1"/>
  <c r="AC9" i="2" l="1"/>
  <c r="Z35" i="2"/>
  <c r="AD9" i="2" l="1"/>
  <c r="Z37" i="2"/>
  <c r="AA35" i="2" l="1"/>
  <c r="AA37" i="2"/>
  <c r="AC37" i="2" s="1"/>
  <c r="AA40" i="2" l="1"/>
  <c r="AC80" i="2" s="1"/>
  <c r="AC35" i="2"/>
  <c r="AC40" i="2" s="1"/>
  <c r="AC81" i="2" s="1"/>
  <c r="AD37" i="2"/>
  <c r="AD35" i="2" l="1"/>
  <c r="AD40" i="2" l="1"/>
  <c r="AC82" i="2" s="1"/>
</calcChain>
</file>

<file path=xl/sharedStrings.xml><?xml version="1.0" encoding="utf-8"?>
<sst xmlns="http://schemas.openxmlformats.org/spreadsheetml/2006/main" count="336" uniqueCount="86">
  <si>
    <t>Liczba miesięcy
[m-c]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</si>
  <si>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</si>
  <si>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</si>
  <si>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</si>
  <si>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</si>
  <si>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</si>
  <si>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</si>
  <si>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</si>
  <si>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</si>
  <si>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</si>
  <si>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</si>
  <si>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</si>
  <si>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</si>
  <si>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</si>
  <si>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</si>
  <si>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</si>
  <si>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</si>
  <si>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</si>
  <si>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W-5.1_TA</t>
  </si>
  <si>
    <t>W-4_TA</t>
  </si>
  <si>
    <t>poza rozliczeniem taryfowym</t>
  </si>
  <si>
    <t>WYSZCZEGÓLNIENIE</t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</si>
  <si>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ZW </t>
    </r>
    <r>
      <rPr>
        <sz val="10"/>
        <color theme="1"/>
        <rFont val="Cambria"/>
        <family val="1"/>
        <charset val="238"/>
        <scheme val="major"/>
      </rPr>
      <t>- bez akcyzy, z zerową stawką akcyzy lub zwolnione od akcyzy
[kWh]</t>
    </r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</si>
  <si>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P </t>
    </r>
    <r>
      <rPr>
        <sz val="10"/>
        <color theme="1"/>
        <rFont val="Cambria"/>
        <family val="1"/>
        <charset val="238"/>
        <scheme val="major"/>
      </rPr>
      <t>- opodatkowane 
akcyzą 1,38 zł/GJ 
[kWh]</t>
    </r>
  </si>
  <si>
    <t xml:space="preserve"> -12-</t>
  </si>
  <si>
    <t xml:space="preserve"> -13-</t>
  </si>
  <si>
    <t xml:space="preserve"> -14-</t>
  </si>
  <si>
    <t xml:space="preserve"> -15-</t>
  </si>
  <si>
    <t xml:space="preserve"> -16-</t>
  </si>
  <si>
    <t>DYSTRYBUCJA PALIWA GAZOWEGO</t>
  </si>
  <si>
    <t xml:space="preserve"> -17-</t>
  </si>
  <si>
    <t xml:space="preserve"> -18-</t>
  </si>
  <si>
    <t xml:space="preserve"> -19-</t>
  </si>
  <si>
    <t xml:space="preserve"> -20-</t>
  </si>
  <si>
    <t>CENA OFERTY</t>
  </si>
  <si>
    <t xml:space="preserve"> -21-</t>
  </si>
  <si>
    <t xml:space="preserve"> -22-</t>
  </si>
  <si>
    <t xml:space="preserve"> -23-</t>
  </si>
  <si>
    <t xml:space="preserve"> -24-</t>
  </si>
  <si>
    <t xml:space="preserve"> -25-</t>
  </si>
  <si>
    <t>n.d</t>
  </si>
  <si>
    <t>Cena jednostkowa sprzedaży paliwa gazowego
bez akcyzy, z zerową stawką akcyzy lub zwolnione od akcyzy
netto
 [gr/kWh]</t>
  </si>
  <si>
    <t>Cena jednostkowa sprzedaży paliwa gazowego
opodatkowanego akcyzą 1,38 zł/GJ
netto
[gr/kWh]</t>
  </si>
  <si>
    <t>Stawka podatku VAT
[%]</t>
  </si>
  <si>
    <r>
      <t xml:space="preserve">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</si>
  <si>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Grupa taryfowa</t>
  </si>
  <si>
    <r>
      <rPr>
        <b/>
        <vertAlign val="superscript"/>
        <sz val="9"/>
        <color theme="1"/>
        <rFont val="Cambria"/>
        <family val="1"/>
        <charset val="238"/>
        <scheme val="major"/>
      </rPr>
      <t xml:space="preserve">1 </t>
    </r>
    <r>
      <rPr>
        <b/>
        <sz val="9"/>
        <color theme="1"/>
        <rFont val="Cambria"/>
        <family val="1"/>
        <charset val="238"/>
        <scheme val="major"/>
      </rPr>
      <t>Dotyczy podmiotów uprawnionych, które nabywają i pobierają paliwo gazowe,  zużywane na potrzeby:</t>
    </r>
  </si>
  <si>
    <t>W-1.1_TA</t>
  </si>
  <si>
    <t>W-2.1_TA</t>
  </si>
  <si>
    <t>W-3.6_TA</t>
  </si>
  <si>
    <t>Stawka opłaty abonamentowej/handlowej
netto
[zł/m-c]</t>
  </si>
  <si>
    <t xml:space="preserve"> -26-</t>
  </si>
  <si>
    <t xml:space="preserve"> -27-</t>
  </si>
  <si>
    <t xml:space="preserve"> -28-</t>
  </si>
  <si>
    <t xml:space="preserve"> -29-</t>
  </si>
  <si>
    <r>
      <t xml:space="preserve">Udział procentowy
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</si>
  <si>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Udział procentowy
poza rozliczeniem taryfowym</t>
  </si>
  <si>
    <t>RAZEM SPRZEDAŻ
netto
[zł] 
[(kol.9xkol.14)/100 
+ (kol.10xkol.15)/100
+ (kol.11xkol.16)/100
+ (kol.12xkol.17)/100
+ (kol.2xkol.7xkol.18)
+ (kol.3xkol.7xkol.19)]</t>
  </si>
  <si>
    <t>Szacunkowe zapotrzebowanie 
na paliwo gazowe 
RAZEM
[kWh]
(kol.9+kol.10+kol.11+kol.12)</t>
  </si>
  <si>
    <t xml:space="preserve"> </t>
  </si>
  <si>
    <t>FORMULARZ CENOWY NA 2025 ROK</t>
  </si>
  <si>
    <t>Załacznik nr 1a - formularz cenowy</t>
  </si>
  <si>
    <t>Razem opłata zmienna netto
[zł]
[kol.13xkol.21/100]</t>
  </si>
  <si>
    <t>Stawka opłaty stałej netto
a) dla grup taryfowych:
W-1.1, W-2.1, 
W-3.6, W-4
[zł/m-c]
b) dla grup taryfowych:
W-5.1, W-6A.1
[gr/(kWh/h) za h]</t>
  </si>
  <si>
    <t>Stawka opłaty stałej netto
a) dla grup taryfowych:
W-1.1, W-2.1, 
W-3.6, W-4
[zł/m-c]
b) dla grup taryfowych:
W-5.1, W-6A.1
[gr/(kWh/h) za h]</t>
  </si>
  <si>
    <t>Razem opłata stała netto
[zł]
a) dla grup taryfowych:
W-1.1, W-2.1,  
W-3.6, W-4, 
[(kol.2+kol.3)×kol.7×kol.23]
b) dla grup taryfowych:
W-5.1, W-6A.1
[(kol.6×kol.8×kol.23/100)]</t>
  </si>
  <si>
    <t>RAZEM DYSTRYBUCJA
netto
[zł] 
(kol.22 + kol.24)</t>
  </si>
  <si>
    <t>Cena oferty netto
[zł] 
(kol. 20 + kol. 25)</t>
  </si>
  <si>
    <t>Wartość podatku VAT 
[zł] 
(kol.26 x kol.27)</t>
  </si>
  <si>
    <t>Cena oferty brutto [zł] 
(kol. 26 + kol. 28)</t>
  </si>
  <si>
    <t>DYSTRYBUCJA</t>
  </si>
  <si>
    <t>Taryfa</t>
  </si>
  <si>
    <t>W-6A.1_TA</t>
  </si>
  <si>
    <t>Stawka opłaty 
zmiennej
netto
[gr/kWh]</t>
  </si>
  <si>
    <t>FORMULARZ CENOWY NA 2026 ROK</t>
  </si>
  <si>
    <t>Podatek VAT 23%</t>
  </si>
  <si>
    <t>Razem cena oferty netto 
(sprzedaż + dystrybucja)
ROK 2025 + ROK 2026</t>
  </si>
  <si>
    <t>Razem cena oferty brutto
(sprzedaż + dystrybucja)
ROK 2025 + ROK 2026</t>
  </si>
  <si>
    <t xml:space="preserve">Wartość należy przenieść do pkt 1.4 Formularza oferty     </t>
  </si>
  <si>
    <t>W-1.2_TA</t>
  </si>
  <si>
    <t xml:space="preserve">a) odbiorców w gospodarstwach domowych w lokalach mieszkalnych lub na potrzeby wytwarzania ciepła zużywanego przez odbiorców w gospodarstwach domowych w lokalach mieszkalnych oraz na potrzeby części wspólnych budynków wielolokalowych,
b) odbiorców, o których mowa w art. 62b ust. 1 pkt 2 lit. d ustawy, prowadzących działalność w lokalach odbiorcy, o którym mowa w art. 62b ust. 1 pkt 2 lit. b lub c Ustawy z dnia 26 stycznia  2022 r. o szczególnych rozwiązaniach służących ochronie odbiorców paliw gazowych w związku  z sytuacją na rynku gazu (Dz. U. z 2022 r., poz. 202),
c) o których mowa w art. 62b ust. 1 pkt 2 lit. d Ustawy z dnia 26 stycznia  2022 r. o szczególnych rozwiązaniach służących ochronie odbiorców paliw gazowych w związku  z sytuacją na rynku gazu (Dz. U. z 2022 r., poz. 202). </t>
  </si>
  <si>
    <t>UWAGA:</t>
  </si>
  <si>
    <t>W przypadku podania cen i stawek opłat innych niż w Taryfie nr 15 sprzedawcy z urzędu PGNiG Obrót Detaliczny Sp. z o.o. oferta Wykonawcy zostanie odrzucona.</t>
  </si>
  <si>
    <t>Dla uniknięcia wątpliwości o wysokości cen i stawek opłat formularz cenowy został uzupełniony o wskazane ceny i stawki opłat.</t>
  </si>
  <si>
    <r>
      <t xml:space="preserve">W formularzu cenowym dla potrzeb porównania i oceny ofert każdy Wykonawca składający ofertę musi podać ceny jednostkowe sprzedaży paliwa gazowego oraz stawki opłat abonamentowych </t>
    </r>
    <r>
      <rPr>
        <b/>
        <sz val="11"/>
        <color theme="1"/>
        <rFont val="Calibri"/>
        <family val="2"/>
        <charset val="238"/>
      </rPr>
      <t>dla punktów poboru podlegających ochronie taryfowej</t>
    </r>
    <r>
      <rPr>
        <sz val="11"/>
        <color theme="1"/>
        <rFont val="Calibri"/>
        <family val="2"/>
        <charset val="238"/>
      </rPr>
      <t xml:space="preserve"> (dla Odbiorców paliw gazowych, o których mowa w art. 62b ust. 1 pkt 2 lit. a-d ustawy z dnia 10 kwietnia 1997 r. Prawo Energetyczne (tekst jedn. Dz. U. z 2024 r., poz. 266 z późn. zm.) 
</t>
    </r>
    <r>
      <rPr>
        <b/>
        <sz val="11"/>
        <color theme="1"/>
        <rFont val="Calibri"/>
        <family val="2"/>
        <charset val="238"/>
      </rPr>
      <t>zgodne</t>
    </r>
    <r>
      <rPr>
        <sz val="11"/>
        <color theme="1"/>
        <rFont val="Calibri"/>
        <family val="2"/>
        <charset val="238"/>
      </rPr>
      <t xml:space="preserve"> z obowiązującą </t>
    </r>
    <r>
      <rPr>
        <b/>
        <sz val="11"/>
        <color theme="1"/>
        <rFont val="Calibri"/>
        <family val="2"/>
        <charset val="238"/>
      </rPr>
      <t>Taryfą nr 15</t>
    </r>
    <r>
      <rPr>
        <sz val="11"/>
        <color theme="1"/>
        <rFont val="Calibri"/>
        <family val="2"/>
        <charset val="238"/>
      </rPr>
      <t xml:space="preserve"> sprzedawcy z urzędu </t>
    </r>
    <r>
      <rPr>
        <b/>
        <sz val="11"/>
        <color theme="1"/>
        <rFont val="Calibri"/>
        <family val="2"/>
        <charset val="238"/>
      </rPr>
      <t>PGNiG Obrót Detaliczny Sp. z o.o.</t>
    </r>
    <r>
      <rPr>
        <sz val="11"/>
        <color theme="1"/>
        <rFont val="Calibri"/>
        <family val="2"/>
        <charset val="238"/>
      </rPr>
      <t xml:space="preserve"> zatwierdzonej decyzją Prezesa Urzędu Regulacji Energetyki nr DRG.DRG-2.4212.23.2024.AGa z dnia 27 czerwca 2024 r.</t>
    </r>
  </si>
  <si>
    <r>
      <t>W trakcie realizacji zamówienia</t>
    </r>
    <r>
      <rPr>
        <b/>
        <sz val="11"/>
        <color rgb="FFFF0000"/>
        <rFont val="Calibri"/>
        <family val="2"/>
        <charset val="238"/>
      </rPr>
      <t xml:space="preserve"> pomimo podania cen i stawek opłat w formularzu cenowym wynikających z Taryfy nr 15 sprzedawcy z urzędu PGNiG Obrót Detaliczny Sp. z o.o. </t>
    </r>
    <r>
      <rPr>
        <b/>
        <u/>
        <sz val="11"/>
        <color rgb="FFFF0000"/>
        <rFont val="Calibri"/>
        <family val="2"/>
        <charset val="238"/>
      </rPr>
      <t>rozliczenia z Zamawiającym będą prowadzone zgodnie z obowiązującą Taryfą Wykonawcy na dzień dostawy</t>
    </r>
    <r>
      <rPr>
        <b/>
        <sz val="11"/>
        <color rgb="FFFF0000"/>
        <rFont val="Calibri"/>
        <family val="2"/>
        <charset val="238"/>
      </rPr>
      <t xml:space="preserve"> (ceny i stawki opłat mogą być niższe lub wyższe w zależności od Taryfy Wykonawcy zatwierdzonej przez Prezesa URE).
Wartość umowy oraz załącznik nr 5 do umowy dla punktów poboru paliwa gazowego z ochroną taryfową będą uwzględniały ceny sprzedaży paliwa gazowego  i stawki opłaty abonamentowej zgodnie z aktualną Taryfą Wykonawcy.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</si>
</sst>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\ &quot;zł&quot;;[Red]\-#,##0.000\ &quot;zł&quot;"/>
    <numFmt numFmtId="166" formatCode="#,##0.00_ ;\-#,##0.00\ "/>
    <numFmt numFmtId="167" formatCode="#,##0.000"/>
  </numFmts>
  <fonts count="20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b/>
      <vertAlign val="superscript"/>
      <sz val="9"/>
      <color theme="1"/>
      <name val="Cambria"/>
      <family val="1"/>
      <charset val="238"/>
      <scheme val="major"/>
    </font>
    <font>
      <b/>
      <sz val="16"/>
      <color theme="1"/>
      <name val="Cambria"/>
      <family val="1"/>
      <charset val="238"/>
      <scheme val="maj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Cambria"/>
      <family val="1"/>
      <charset val="238"/>
      <scheme val="maj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DF2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04">
    <xf numFmtId="0" fontId="0" fillId="0" borderId="0" xfId="0"/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/>
    <xf numFmtId="3" fontId="1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3" fontId="7" fillId="0" borderId="0" xfId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right" vertical="center"/>
    </xf>
    <xf numFmtId="166" fontId="7" fillId="0" borderId="6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5" fillId="0" borderId="0" xfId="0" applyFont="1" applyFill="1" applyAlignment="1"/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7" fillId="4" borderId="1" xfId="0" applyNumberFormat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center" vertical="center" wrapText="1"/>
    </xf>
    <xf numFmtId="165" fontId="8" fillId="0" borderId="16" xfId="2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3" fontId="7" fillId="0" borderId="6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right" vertical="center"/>
    </xf>
    <xf numFmtId="164" fontId="7" fillId="0" borderId="6" xfId="0" applyNumberFormat="1" applyFont="1" applyFill="1" applyBorder="1" applyAlignment="1">
      <alignment horizontal="center" vertical="center"/>
    </xf>
    <xf numFmtId="43" fontId="8" fillId="0" borderId="6" xfId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9" fontId="8" fillId="0" borderId="1" xfId="3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7" fillId="0" borderId="8" xfId="1" applyNumberFormat="1" applyFont="1" applyFill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right" vertical="center"/>
    </xf>
    <xf numFmtId="167" fontId="7" fillId="4" borderId="8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10" fontId="7" fillId="0" borderId="1" xfId="3" applyNumberFormat="1" applyFont="1" applyFill="1" applyBorder="1" applyAlignment="1">
      <alignment horizontal="center" vertical="center" wrapText="1"/>
    </xf>
    <xf numFmtId="10" fontId="7" fillId="0" borderId="6" xfId="3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right" vertical="center"/>
    </xf>
    <xf numFmtId="4" fontId="7" fillId="0" borderId="9" xfId="0" applyNumberFormat="1" applyFont="1" applyFill="1" applyBorder="1" applyAlignment="1">
      <alignment horizontal="right" vertical="center"/>
    </xf>
    <xf numFmtId="3" fontId="7" fillId="0" borderId="9" xfId="0" applyNumberFormat="1" applyFont="1" applyFill="1" applyBorder="1" applyAlignment="1">
      <alignment horizontal="right" vertical="center"/>
    </xf>
    <xf numFmtId="3" fontId="7" fillId="0" borderId="7" xfId="0" applyNumberFormat="1" applyFont="1" applyFill="1" applyBorder="1" applyAlignment="1">
      <alignment horizontal="right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right" vertical="center"/>
    </xf>
    <xf numFmtId="9" fontId="7" fillId="0" borderId="0" xfId="3" applyNumberFormat="1" applyFont="1" applyFill="1" applyBorder="1" applyAlignment="1">
      <alignment horizontal="right" vertical="center"/>
    </xf>
    <xf numFmtId="4" fontId="7" fillId="0" borderId="15" xfId="1" applyNumberFormat="1" applyFont="1" applyFill="1" applyBorder="1" applyAlignment="1">
      <alignment horizontal="right" vertical="center"/>
    </xf>
    <xf numFmtId="9" fontId="8" fillId="0" borderId="16" xfId="3" applyFont="1" applyFill="1" applyBorder="1" applyAlignment="1">
      <alignment horizontal="right" vertical="center"/>
    </xf>
    <xf numFmtId="4" fontId="8" fillId="0" borderId="16" xfId="0" applyNumberFormat="1" applyFont="1" applyFill="1" applyBorder="1" applyAlignment="1">
      <alignment horizontal="right" vertical="center"/>
    </xf>
    <xf numFmtId="4" fontId="8" fillId="0" borderId="17" xfId="0" applyNumberFormat="1" applyFont="1" applyFill="1" applyBorder="1" applyAlignment="1">
      <alignment horizontal="right" vertical="center"/>
    </xf>
    <xf numFmtId="0" fontId="7" fillId="11" borderId="10" xfId="0" applyFont="1" applyFill="1" applyBorder="1" applyAlignment="1">
      <alignment horizontal="center" vertical="center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0" fontId="7" fillId="0" borderId="6" xfId="0" applyNumberFormat="1" applyFont="1" applyFill="1" applyBorder="1" applyAlignment="1">
      <alignment horizontal="center" vertical="center"/>
    </xf>
    <xf numFmtId="167" fontId="7" fillId="4" borderId="10" xfId="0" applyNumberFormat="1" applyFont="1" applyFill="1" applyBorder="1" applyAlignment="1">
      <alignment horizontal="right" vertical="center"/>
    </xf>
    <xf numFmtId="4" fontId="7" fillId="4" borderId="6" xfId="0" applyNumberFormat="1" applyFont="1" applyFill="1" applyBorder="1" applyAlignment="1">
      <alignment horizontal="right" vertical="center"/>
    </xf>
    <xf numFmtId="4" fontId="7" fillId="0" borderId="19" xfId="1" applyNumberFormat="1" applyFont="1" applyFill="1" applyBorder="1" applyAlignment="1">
      <alignment horizontal="right" vertical="center"/>
    </xf>
    <xf numFmtId="9" fontId="7" fillId="0" borderId="20" xfId="3" applyNumberFormat="1" applyFont="1" applyFill="1" applyBorder="1" applyAlignment="1">
      <alignment horizontal="right" vertical="center"/>
    </xf>
    <xf numFmtId="4" fontId="7" fillId="0" borderId="20" xfId="1" applyNumberFormat="1" applyFont="1" applyFill="1" applyBorder="1" applyAlignment="1">
      <alignment horizontal="right" vertical="center"/>
    </xf>
    <xf numFmtId="4" fontId="7" fillId="0" borderId="21" xfId="1" applyNumberFormat="1" applyFont="1" applyFill="1" applyBorder="1" applyAlignment="1">
      <alignment horizontal="right" vertical="center"/>
    </xf>
    <xf numFmtId="43" fontId="7" fillId="0" borderId="24" xfId="1" applyFont="1" applyFill="1" applyBorder="1" applyAlignment="1">
      <alignment horizontal="center" vertical="center"/>
    </xf>
    <xf numFmtId="43" fontId="7" fillId="0" borderId="25" xfId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right" vertical="center"/>
    </xf>
    <xf numFmtId="0" fontId="2" fillId="0" borderId="0" xfId="0" applyFont="1" applyFill="1"/>
    <xf numFmtId="0" fontId="7" fillId="15" borderId="8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5" xfId="0" applyNumberFormat="1" applyFont="1" applyFill="1" applyBorder="1" applyAlignment="1">
      <alignment horizontal="right" vertical="center"/>
    </xf>
    <xf numFmtId="4" fontId="7" fillId="0" borderId="5" xfId="0" applyNumberFormat="1" applyFont="1" applyFill="1" applyBorder="1" applyAlignment="1">
      <alignment horizontal="right" vertical="center"/>
    </xf>
    <xf numFmtId="0" fontId="16" fillId="16" borderId="12" xfId="0" applyFont="1" applyFill="1" applyBorder="1" applyAlignment="1">
      <alignment vertical="center"/>
    </xf>
    <xf numFmtId="0" fontId="5" fillId="16" borderId="13" xfId="0" applyFont="1" applyFill="1" applyBorder="1"/>
    <xf numFmtId="0" fontId="1" fillId="16" borderId="13" xfId="0" applyFont="1" applyFill="1" applyBorder="1" applyAlignment="1">
      <alignment vertical="top" wrapText="1"/>
    </xf>
    <xf numFmtId="0" fontId="4" fillId="16" borderId="13" xfId="0" applyFont="1" applyFill="1" applyBorder="1" applyAlignment="1">
      <alignment vertical="top" wrapText="1"/>
    </xf>
    <xf numFmtId="0" fontId="2" fillId="16" borderId="13" xfId="0" applyFont="1" applyFill="1" applyBorder="1"/>
    <xf numFmtId="0" fontId="2" fillId="16" borderId="14" xfId="0" applyFont="1" applyFill="1" applyBorder="1"/>
    <xf numFmtId="0" fontId="18" fillId="16" borderId="36" xfId="0" applyFont="1" applyFill="1" applyBorder="1" applyAlignment="1">
      <alignment vertical="center"/>
    </xf>
    <xf numFmtId="0" fontId="5" fillId="16" borderId="0" xfId="0" applyFont="1" applyFill="1" applyBorder="1"/>
    <xf numFmtId="0" fontId="1" fillId="16" borderId="0" xfId="0" applyFont="1" applyFill="1" applyBorder="1" applyAlignment="1">
      <alignment vertical="top" wrapText="1"/>
    </xf>
    <xf numFmtId="0" fontId="5" fillId="16" borderId="37" xfId="0" applyFont="1" applyFill="1" applyBorder="1"/>
    <xf numFmtId="0" fontId="16" fillId="16" borderId="36" xfId="0" applyFont="1" applyFill="1" applyBorder="1" applyAlignment="1">
      <alignment vertical="center"/>
    </xf>
    <xf numFmtId="0" fontId="16" fillId="16" borderId="38" xfId="0" applyFont="1" applyFill="1" applyBorder="1" applyAlignment="1">
      <alignment vertical="center"/>
    </xf>
    <xf numFmtId="0" fontId="5" fillId="16" borderId="39" xfId="0" applyFont="1" applyFill="1" applyBorder="1"/>
    <xf numFmtId="0" fontId="5" fillId="16" borderId="40" xfId="0" applyFont="1" applyFill="1" applyBorder="1"/>
    <xf numFmtId="4" fontId="2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12" fillId="14" borderId="33" xfId="0" applyFont="1" applyFill="1" applyBorder="1" applyAlignment="1">
      <alignment horizontal="center" vertical="center" wrapText="1"/>
    </xf>
    <xf numFmtId="0" fontId="12" fillId="14" borderId="34" xfId="0" applyFont="1" applyFill="1" applyBorder="1" applyAlignment="1">
      <alignment horizontal="center" vertical="center" wrapText="1"/>
    </xf>
    <xf numFmtId="0" fontId="12" fillId="14" borderId="35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2" fillId="10" borderId="19" xfId="0" applyFont="1" applyFill="1" applyBorder="1" applyAlignment="1">
      <alignment horizontal="center" vertical="center" wrapText="1"/>
    </xf>
    <xf numFmtId="0" fontId="12" fillId="10" borderId="20" xfId="0" applyFont="1" applyFill="1" applyBorder="1" applyAlignment="1">
      <alignment horizontal="center" vertical="center" wrapText="1"/>
    </xf>
    <xf numFmtId="0" fontId="12" fillId="10" borderId="2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6" fillId="16" borderId="36" xfId="0" applyFont="1" applyFill="1" applyBorder="1" applyAlignment="1">
      <alignment horizontal="left" vertical="center" wrapText="1"/>
    </xf>
    <xf numFmtId="0" fontId="16" fillId="16" borderId="0" xfId="0" applyFont="1" applyFill="1" applyBorder="1" applyAlignment="1">
      <alignment horizontal="left" vertical="center" wrapText="1"/>
    </xf>
    <xf numFmtId="0" fontId="16" fillId="16" borderId="37" xfId="0" applyFont="1" applyFill="1" applyBorder="1" applyAlignment="1">
      <alignment horizontal="left" vertical="center" wrapText="1"/>
    </xf>
    <xf numFmtId="0" fontId="19" fillId="16" borderId="36" xfId="0" applyFont="1" applyFill="1" applyBorder="1" applyAlignment="1">
      <alignment horizontal="left" vertical="center" wrapText="1"/>
    </xf>
    <xf numFmtId="0" fontId="19" fillId="16" borderId="0" xfId="0" applyFont="1" applyFill="1" applyBorder="1" applyAlignment="1">
      <alignment horizontal="left" vertical="center" wrapText="1"/>
    </xf>
    <xf numFmtId="0" fontId="19" fillId="16" borderId="37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7" fontId="7" fillId="4" borderId="6" xfId="0" applyNumberFormat="1" applyFont="1" applyFill="1" applyBorder="1" applyAlignment="1">
      <alignment horizontal="right" vertical="center"/>
    </xf>
    <xf numFmtId="167" fontId="7" fillId="4" borderId="11" xfId="0" applyNumberFormat="1" applyFont="1" applyFill="1" applyBorder="1" applyAlignment="1">
      <alignment horizontal="right" vertical="center"/>
    </xf>
    <xf numFmtId="167" fontId="7" fillId="4" borderId="2" xfId="0" applyNumberFormat="1" applyFont="1" applyFill="1" applyBorder="1" applyAlignment="1">
      <alignment horizontal="right" vertical="center"/>
    </xf>
    <xf numFmtId="4" fontId="7" fillId="4" borderId="2" xfId="0" applyNumberFormat="1" applyFont="1" applyFill="1" applyBorder="1" applyAlignment="1">
      <alignment horizontal="right" vertical="center"/>
    </xf>
    <xf numFmtId="164" fontId="7" fillId="0" borderId="41" xfId="0" applyNumberFormat="1" applyFont="1" applyFill="1" applyBorder="1" applyAlignment="1">
      <alignment horizontal="center" vertical="center"/>
    </xf>
    <xf numFmtId="43" fontId="8" fillId="0" borderId="42" xfId="1" applyFont="1" applyFill="1" applyBorder="1" applyAlignment="1">
      <alignment horizontal="right" vertical="center"/>
    </xf>
    <xf numFmtId="164" fontId="7" fillId="0" borderId="42" xfId="0" applyNumberFormat="1" applyFont="1" applyFill="1" applyBorder="1" applyAlignment="1">
      <alignment horizontal="center" vertical="center"/>
    </xf>
    <xf numFmtId="166" fontId="7" fillId="0" borderId="42" xfId="1" applyNumberFormat="1" applyFont="1" applyFill="1" applyBorder="1" applyAlignment="1">
      <alignment horizontal="right" vertical="center"/>
    </xf>
    <xf numFmtId="43" fontId="7" fillId="0" borderId="43" xfId="1" applyFont="1" applyFill="1" applyBorder="1" applyAlignment="1">
      <alignment horizontal="center" vertical="center"/>
    </xf>
    <xf numFmtId="4" fontId="7" fillId="0" borderId="41" xfId="1" applyNumberFormat="1" applyFont="1" applyFill="1" applyBorder="1" applyAlignment="1">
      <alignment horizontal="right" vertical="center"/>
    </xf>
    <xf numFmtId="9" fontId="8" fillId="0" borderId="42" xfId="3" applyFont="1" applyFill="1" applyBorder="1" applyAlignment="1">
      <alignment horizontal="right" vertical="center"/>
    </xf>
    <xf numFmtId="4" fontId="8" fillId="0" borderId="42" xfId="0" applyNumberFormat="1" applyFont="1" applyFill="1" applyBorder="1" applyAlignment="1">
      <alignment horizontal="right" vertical="center"/>
    </xf>
    <xf numFmtId="4" fontId="8" fillId="0" borderId="44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8" borderId="41" xfId="0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center" vertical="center"/>
    </xf>
    <xf numFmtId="10" fontId="7" fillId="0" borderId="42" xfId="0" applyNumberFormat="1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3" fontId="7" fillId="0" borderId="42" xfId="0" applyNumberFormat="1" applyFont="1" applyFill="1" applyBorder="1" applyAlignment="1">
      <alignment horizontal="right" vertical="center"/>
    </xf>
    <xf numFmtId="3" fontId="7" fillId="0" borderId="44" xfId="0" applyNumberFormat="1" applyFont="1" applyFill="1" applyBorder="1" applyAlignment="1">
      <alignment horizontal="right" vertical="center"/>
    </xf>
    <xf numFmtId="167" fontId="7" fillId="4" borderId="41" xfId="0" applyNumberFormat="1" applyFont="1" applyFill="1" applyBorder="1" applyAlignment="1">
      <alignment horizontal="right" vertical="center"/>
    </xf>
    <xf numFmtId="167" fontId="7" fillId="4" borderId="42" xfId="0" applyNumberFormat="1" applyFont="1" applyFill="1" applyBorder="1" applyAlignment="1">
      <alignment horizontal="right" vertical="center"/>
    </xf>
    <xf numFmtId="4" fontId="7" fillId="4" borderId="42" xfId="0" applyNumberFormat="1" applyFont="1" applyFill="1" applyBorder="1" applyAlignment="1">
      <alignment horizontal="right" vertical="center"/>
    </xf>
    <xf numFmtId="4" fontId="7" fillId="0" borderId="44" xfId="0" applyNumberFormat="1" applyFont="1" applyFill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CCCCFF"/>
      <color rgb="FF43BC00"/>
      <color rgb="FFC5FFD4"/>
      <color rgb="FF00CC66"/>
      <color rgb="FF00EA75"/>
      <color rgb="FF00FF00"/>
      <color rgb="FF99FF66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90"/>
  <sheetViews>
    <sheetView showGridLines="0" tabSelected="1" zoomScale="55" zoomScaleNormal="55" zoomScaleSheetLayoutView="55" zoomScalePageLayoutView="70" workbookViewId="0">
      <selection activeCell="O6" sqref="O6:P6"/>
    </sheetView>
  </sheetViews>
  <sheetFormatPr defaultRowHeight="24.95" customHeight="1" x14ac:dyDescent="0.2"/>
  <cols>
    <col min="1" max="1" width="3.875" style="3" customWidth="1"/>
    <col min="2" max="2" width="21.5" style="3" customWidth="1"/>
    <col min="3" max="3" width="9.625" style="3" customWidth="1"/>
    <col min="4" max="6" width="10.125" style="3" customWidth="1"/>
    <col min="7" max="9" width="8.375" style="3" customWidth="1"/>
    <col min="10" max="13" width="10.875" style="3" customWidth="1"/>
    <col min="14" max="14" width="23.125" style="3" customWidth="1"/>
    <col min="15" max="20" width="11" style="3" customWidth="1"/>
    <col min="21" max="21" width="17.75" style="3" customWidth="1"/>
    <col min="22" max="24" width="15" style="3" customWidth="1"/>
    <col min="25" max="25" width="25.375" style="3" customWidth="1"/>
    <col min="26" max="26" width="17.375" style="3" customWidth="1"/>
    <col min="27" max="27" width="14.375" style="3" customWidth="1"/>
    <col min="28" max="28" width="10.5" style="3" customWidth="1"/>
    <col min="29" max="29" width="13.25" style="3" customWidth="1"/>
    <col min="30" max="30" width="14.625" style="3" customWidth="1"/>
    <col min="31" max="16384" width="9" style="3"/>
  </cols>
  <sheetData>
    <row r="1" spans="2:30" ht="6.75" customHeight="1" x14ac:dyDescent="0.2"/>
    <row r="2" spans="2:30" ht="29.25" customHeight="1" x14ac:dyDescent="0.2">
      <c r="AD2" s="17" t="s">
        <v>61</v>
      </c>
    </row>
    <row r="3" spans="2:30" ht="39" customHeight="1" thickBot="1" x14ac:dyDescent="0.25">
      <c r="O3" s="3" t="s">
        <v>59</v>
      </c>
      <c r="Y3" s="5"/>
      <c r="Z3" s="6"/>
      <c r="AA3" s="6"/>
      <c r="AD3" s="17"/>
    </row>
    <row r="4" spans="2:30" ht="57.75" customHeight="1" thickBot="1" x14ac:dyDescent="0.25">
      <c r="B4" s="143" t="s">
        <v>60</v>
      </c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5"/>
    </row>
    <row r="5" spans="2:30" ht="38.25" customHeight="1" thickBot="1" x14ac:dyDescent="0.25">
      <c r="B5" s="159" t="s">
        <v>21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1"/>
      <c r="O5" s="164" t="s">
        <v>5</v>
      </c>
      <c r="P5" s="164"/>
      <c r="Q5" s="164"/>
      <c r="R5" s="164"/>
      <c r="S5" s="164"/>
      <c r="T5" s="164"/>
      <c r="U5" s="164"/>
      <c r="V5" s="150" t="s">
        <v>29</v>
      </c>
      <c r="W5" s="151"/>
      <c r="X5" s="151"/>
      <c r="Y5" s="151"/>
      <c r="Z5" s="152"/>
      <c r="AA5" s="141" t="s">
        <v>34</v>
      </c>
      <c r="AB5" s="141"/>
      <c r="AC5" s="141"/>
      <c r="AD5" s="142"/>
    </row>
    <row r="6" spans="2:30" ht="102" customHeight="1" x14ac:dyDescent="0.2">
      <c r="B6" s="172" t="s">
        <v>45</v>
      </c>
      <c r="C6" s="132" t="s">
        <v>1</v>
      </c>
      <c r="D6" s="133"/>
      <c r="E6" s="133"/>
      <c r="F6" s="134"/>
      <c r="G6" s="153" t="s">
        <v>3</v>
      </c>
      <c r="H6" s="153" t="s">
        <v>0</v>
      </c>
      <c r="I6" s="153" t="s">
        <v>6</v>
      </c>
      <c r="J6" s="163" t="s">
        <v>22</v>
      </c>
      <c r="K6" s="163"/>
      <c r="L6" s="163" t="s">
        <v>23</v>
      </c>
      <c r="M6" s="163"/>
      <c r="N6" s="155" t="s">
        <v>58</v>
      </c>
      <c r="O6" s="162" t="s">
        <v>41</v>
      </c>
      <c r="P6" s="163"/>
      <c r="Q6" s="163" t="s">
        <v>42</v>
      </c>
      <c r="R6" s="163"/>
      <c r="S6" s="108" t="s">
        <v>50</v>
      </c>
      <c r="T6" s="107"/>
      <c r="U6" s="155" t="s">
        <v>57</v>
      </c>
      <c r="V6" s="130" t="s">
        <v>2</v>
      </c>
      <c r="W6" s="153" t="s">
        <v>62</v>
      </c>
      <c r="X6" s="135" t="s">
        <v>64</v>
      </c>
      <c r="Y6" s="153" t="s">
        <v>65</v>
      </c>
      <c r="Z6" s="155" t="s">
        <v>66</v>
      </c>
      <c r="AA6" s="146" t="s">
        <v>67</v>
      </c>
      <c r="AB6" s="148" t="s">
        <v>43</v>
      </c>
      <c r="AC6" s="148" t="s">
        <v>68</v>
      </c>
      <c r="AD6" s="157" t="s">
        <v>69</v>
      </c>
    </row>
    <row r="7" spans="2:30" ht="106.5" customHeight="1" thickBot="1" x14ac:dyDescent="0.25">
      <c r="B7" s="173"/>
      <c r="C7" s="22" t="s">
        <v>44</v>
      </c>
      <c r="D7" s="23" t="s">
        <v>20</v>
      </c>
      <c r="E7" s="22" t="s">
        <v>55</v>
      </c>
      <c r="F7" s="23" t="s">
        <v>56</v>
      </c>
      <c r="G7" s="154"/>
      <c r="H7" s="154"/>
      <c r="I7" s="154"/>
      <c r="J7" s="22" t="s">
        <v>44</v>
      </c>
      <c r="K7" s="22" t="s">
        <v>20</v>
      </c>
      <c r="L7" s="22" t="s">
        <v>44</v>
      </c>
      <c r="M7" s="22" t="s">
        <v>20</v>
      </c>
      <c r="N7" s="156"/>
      <c r="O7" s="33" t="s">
        <v>44</v>
      </c>
      <c r="P7" s="23" t="s">
        <v>20</v>
      </c>
      <c r="Q7" s="22" t="s">
        <v>44</v>
      </c>
      <c r="R7" s="22" t="s">
        <v>20</v>
      </c>
      <c r="S7" s="22" t="s">
        <v>44</v>
      </c>
      <c r="T7" s="23" t="s">
        <v>20</v>
      </c>
      <c r="U7" s="156"/>
      <c r="V7" s="174"/>
      <c r="W7" s="154"/>
      <c r="X7" s="175"/>
      <c r="Y7" s="154"/>
      <c r="Z7" s="156"/>
      <c r="AA7" s="147"/>
      <c r="AB7" s="149"/>
      <c r="AC7" s="149"/>
      <c r="AD7" s="158"/>
    </row>
    <row r="8" spans="2:30" ht="19.5" customHeight="1" thickBot="1" x14ac:dyDescent="0.25">
      <c r="B8" s="190" t="s">
        <v>7</v>
      </c>
      <c r="C8" s="191" t="s">
        <v>8</v>
      </c>
      <c r="D8" s="191" t="s">
        <v>9</v>
      </c>
      <c r="E8" s="191" t="s">
        <v>10</v>
      </c>
      <c r="F8" s="191" t="s">
        <v>11</v>
      </c>
      <c r="G8" s="191" t="s">
        <v>12</v>
      </c>
      <c r="H8" s="191" t="s">
        <v>13</v>
      </c>
      <c r="I8" s="191" t="s">
        <v>14</v>
      </c>
      <c r="J8" s="191" t="s">
        <v>15</v>
      </c>
      <c r="K8" s="191" t="s">
        <v>16</v>
      </c>
      <c r="L8" s="191" t="s">
        <v>17</v>
      </c>
      <c r="M8" s="191" t="s">
        <v>24</v>
      </c>
      <c r="N8" s="193" t="s">
        <v>25</v>
      </c>
      <c r="O8" s="190" t="s">
        <v>26</v>
      </c>
      <c r="P8" s="191" t="s">
        <v>27</v>
      </c>
      <c r="Q8" s="191" t="s">
        <v>28</v>
      </c>
      <c r="R8" s="191" t="s">
        <v>30</v>
      </c>
      <c r="S8" s="191" t="s">
        <v>31</v>
      </c>
      <c r="T8" s="191" t="s">
        <v>32</v>
      </c>
      <c r="U8" s="193" t="s">
        <v>33</v>
      </c>
      <c r="V8" s="190" t="s">
        <v>35</v>
      </c>
      <c r="W8" s="191" t="s">
        <v>36</v>
      </c>
      <c r="X8" s="191" t="s">
        <v>37</v>
      </c>
      <c r="Y8" s="191" t="s">
        <v>38</v>
      </c>
      <c r="Z8" s="192" t="s">
        <v>39</v>
      </c>
      <c r="AA8" s="190" t="s">
        <v>51</v>
      </c>
      <c r="AB8" s="191" t="s">
        <v>52</v>
      </c>
      <c r="AC8" s="191" t="s">
        <v>53</v>
      </c>
      <c r="AD8" s="193" t="s">
        <v>54</v>
      </c>
    </row>
    <row r="9" spans="2:30" ht="30.75" customHeight="1" x14ac:dyDescent="0.2">
      <c r="B9" s="194" t="s">
        <v>47</v>
      </c>
      <c r="C9" s="195">
        <v>21</v>
      </c>
      <c r="D9" s="195">
        <v>0</v>
      </c>
      <c r="E9" s="196">
        <v>1</v>
      </c>
      <c r="F9" s="196">
        <f>100%-E9</f>
        <v>0</v>
      </c>
      <c r="G9" s="197" t="s">
        <v>4</v>
      </c>
      <c r="H9" s="195">
        <v>12</v>
      </c>
      <c r="I9" s="195" t="s">
        <v>40</v>
      </c>
      <c r="J9" s="198">
        <v>21000</v>
      </c>
      <c r="K9" s="198">
        <v>0</v>
      </c>
      <c r="L9" s="198">
        <v>6000</v>
      </c>
      <c r="M9" s="198">
        <v>0</v>
      </c>
      <c r="N9" s="199">
        <f>+J9+K9+L9+M9</f>
        <v>27000</v>
      </c>
      <c r="O9" s="200">
        <v>23.965</v>
      </c>
      <c r="P9" s="201"/>
      <c r="Q9" s="201">
        <v>24.355</v>
      </c>
      <c r="R9" s="201"/>
      <c r="S9" s="202">
        <v>6.49</v>
      </c>
      <c r="T9" s="202"/>
      <c r="U9" s="203">
        <f>+ROUND((J9*O9/100+K9*P9/100+L9*Q9/100+M9*R9/100+C9*H9*S9+D9*H9*T9),2)</f>
        <v>8129.43</v>
      </c>
      <c r="V9" s="181">
        <f>VLOOKUP($B9,'Taryfa PSG'!$B$4:$D$10,2,0)</f>
        <v>6.7640000000000002</v>
      </c>
      <c r="W9" s="182">
        <f>+ROUND(N9*V9/100,2)</f>
        <v>1826.28</v>
      </c>
      <c r="X9" s="183">
        <f>VLOOKUP($B9,'Taryfa PSG'!$B$4:$D$10,3,0)</f>
        <v>4.5999999999999996</v>
      </c>
      <c r="Y9" s="184">
        <f>+ROUND((C9+D9)*H9*X9,2)</f>
        <v>1159.2</v>
      </c>
      <c r="Z9" s="185">
        <f t="shared" ref="Z9:Z39" si="0">+W9+Y9</f>
        <v>2985.48</v>
      </c>
      <c r="AA9" s="186">
        <f t="shared" ref="AA9:AA39" si="1">+U9+Z9</f>
        <v>11114.91</v>
      </c>
      <c r="AB9" s="187">
        <v>0.23</v>
      </c>
      <c r="AC9" s="188">
        <f>+ROUND(AA9*AB9,2)</f>
        <v>2556.4299999999998</v>
      </c>
      <c r="AD9" s="189">
        <f>+AC9+AA9</f>
        <v>13671.34</v>
      </c>
    </row>
    <row r="10" spans="2:30" ht="30.75" customHeight="1" x14ac:dyDescent="0.2">
      <c r="B10" s="52" t="s">
        <v>47</v>
      </c>
      <c r="C10" s="13">
        <v>0</v>
      </c>
      <c r="D10" s="13">
        <v>4</v>
      </c>
      <c r="E10" s="31">
        <v>0</v>
      </c>
      <c r="F10" s="31">
        <f t="shared" ref="F10:F39" si="2">100%-E10</f>
        <v>1</v>
      </c>
      <c r="G10" s="30" t="s">
        <v>4</v>
      </c>
      <c r="H10" s="13">
        <v>12</v>
      </c>
      <c r="I10" s="13" t="s">
        <v>40</v>
      </c>
      <c r="J10" s="24">
        <v>0</v>
      </c>
      <c r="K10" s="24">
        <v>6480</v>
      </c>
      <c r="L10" s="24">
        <v>0</v>
      </c>
      <c r="M10" s="24">
        <v>0</v>
      </c>
      <c r="N10" s="47">
        <f>+J10+K10+L10+M10</f>
        <v>6480</v>
      </c>
      <c r="O10" s="38">
        <v>23.965</v>
      </c>
      <c r="P10" s="39"/>
      <c r="Q10" s="39">
        <v>24.355</v>
      </c>
      <c r="R10" s="39"/>
      <c r="S10" s="21">
        <v>6.49</v>
      </c>
      <c r="T10" s="21"/>
      <c r="U10" s="46">
        <f t="shared" ref="U10" si="3">+ROUND((J10*O10/100+K10*P10/100+L10*Q10/100+M10*R10/100+C10*H10*S10+D10*H10*T10),2)</f>
        <v>0</v>
      </c>
      <c r="V10" s="49">
        <f>VLOOKUP($B10,'Taryfa PSG'!$B$4:$D$10,2,0)</f>
        <v>6.7640000000000002</v>
      </c>
      <c r="W10" s="27">
        <f t="shared" ref="W10:W39" si="4">+ROUND(N10*V10/100,2)</f>
        <v>438.31</v>
      </c>
      <c r="X10" s="26">
        <f>VLOOKUP($B10,'Taryfa PSG'!$B$4:$D$10,3,0)</f>
        <v>4.5999999999999996</v>
      </c>
      <c r="Y10" s="15">
        <f t="shared" ref="Y10:Y36" si="5">+ROUND((C10+D10)*H10*X10,2)</f>
        <v>220.8</v>
      </c>
      <c r="Z10" s="72">
        <f t="shared" si="0"/>
        <v>659.11</v>
      </c>
      <c r="AA10" s="36">
        <f t="shared" si="1"/>
        <v>659.11</v>
      </c>
      <c r="AB10" s="34">
        <v>0.23</v>
      </c>
      <c r="AC10" s="35">
        <f t="shared" ref="AC10:AC39" si="6">+ROUND(AA10*AB10,2)</f>
        <v>151.6</v>
      </c>
      <c r="AD10" s="37">
        <f t="shared" ref="AD10" si="7">+AC10+AA10</f>
        <v>810.71</v>
      </c>
    </row>
    <row r="11" spans="2:30" ht="30.75" customHeight="1" x14ac:dyDescent="0.2">
      <c r="B11" s="77" t="s">
        <v>79</v>
      </c>
      <c r="C11" s="13">
        <v>1</v>
      </c>
      <c r="D11" s="13">
        <v>0</v>
      </c>
      <c r="E11" s="31">
        <v>1</v>
      </c>
      <c r="F11" s="31">
        <f t="shared" ref="F11" si="8">100%-E11</f>
        <v>0</v>
      </c>
      <c r="G11" s="30" t="s">
        <v>4</v>
      </c>
      <c r="H11" s="13">
        <v>12</v>
      </c>
      <c r="I11" s="13" t="s">
        <v>40</v>
      </c>
      <c r="J11" s="24">
        <v>240</v>
      </c>
      <c r="K11" s="24">
        <v>0</v>
      </c>
      <c r="L11" s="24">
        <v>0</v>
      </c>
      <c r="M11" s="24">
        <v>0</v>
      </c>
      <c r="N11" s="47">
        <f>+J11+K11+L11+M11</f>
        <v>240</v>
      </c>
      <c r="O11" s="38">
        <v>23.965</v>
      </c>
      <c r="P11" s="39"/>
      <c r="Q11" s="39">
        <v>24.355</v>
      </c>
      <c r="R11" s="39"/>
      <c r="S11" s="21">
        <v>6.49</v>
      </c>
      <c r="T11" s="21"/>
      <c r="U11" s="46">
        <f t="shared" ref="U11" si="9">+ROUND((J11*O11/100+K11*P11/100+L11*Q11/100+M11*R11/100+C11*H11*S11+D11*H11*T11),2)</f>
        <v>135.4</v>
      </c>
      <c r="V11" s="49">
        <f>VLOOKUP($B11,'Taryfa PSG'!$B$4:$D$10,2,0)</f>
        <v>6.7640000000000002</v>
      </c>
      <c r="W11" s="27">
        <f t="shared" ref="W11" si="10">+ROUND(N11*V11/100,2)</f>
        <v>16.23</v>
      </c>
      <c r="X11" s="26">
        <f>VLOOKUP($B11,'Taryfa PSG'!$B$4:$D$10,3,0)</f>
        <v>5.75</v>
      </c>
      <c r="Y11" s="15">
        <f t="shared" ref="Y11" si="11">+ROUND((C11+D11)*H11*X11,2)</f>
        <v>69</v>
      </c>
      <c r="Z11" s="72">
        <f t="shared" ref="Z11" si="12">+W11+Y11</f>
        <v>85.23</v>
      </c>
      <c r="AA11" s="36">
        <f t="shared" ref="AA11" si="13">+U11+Z11</f>
        <v>220.63</v>
      </c>
      <c r="AB11" s="34">
        <v>0.23</v>
      </c>
      <c r="AC11" s="35">
        <f t="shared" ref="AC11" si="14">+ROUND(AA11*AB11,2)</f>
        <v>50.74</v>
      </c>
      <c r="AD11" s="37">
        <f t="shared" ref="AD11" si="15">+AC11+AA11</f>
        <v>271.37</v>
      </c>
    </row>
    <row r="12" spans="2:30" ht="30.75" customHeight="1" x14ac:dyDescent="0.2">
      <c r="B12" s="42" t="s">
        <v>48</v>
      </c>
      <c r="C12" s="13">
        <v>36</v>
      </c>
      <c r="D12" s="13">
        <v>0</v>
      </c>
      <c r="E12" s="31">
        <v>1</v>
      </c>
      <c r="F12" s="31">
        <f t="shared" si="2"/>
        <v>0</v>
      </c>
      <c r="G12" s="30" t="s">
        <v>4</v>
      </c>
      <c r="H12" s="13">
        <v>12</v>
      </c>
      <c r="I12" s="13" t="s">
        <v>40</v>
      </c>
      <c r="J12" s="24">
        <v>249970</v>
      </c>
      <c r="K12" s="24">
        <v>0</v>
      </c>
      <c r="L12" s="24">
        <v>62540</v>
      </c>
      <c r="M12" s="24">
        <v>0</v>
      </c>
      <c r="N12" s="47">
        <f t="shared" ref="N12" si="16">+J12+K12+L12+M12</f>
        <v>312510</v>
      </c>
      <c r="O12" s="38">
        <v>23.965</v>
      </c>
      <c r="P12" s="39"/>
      <c r="Q12" s="39">
        <v>24.355</v>
      </c>
      <c r="R12" s="39"/>
      <c r="S12" s="21">
        <v>8.81</v>
      </c>
      <c r="T12" s="21"/>
      <c r="U12" s="46">
        <f t="shared" ref="U12" si="17">+ROUND((J12*O12/100+K12*P12/100+L12*Q12/100+M12*R12/100+C12*H12*S12+D12*H12*T12),2)</f>
        <v>78942.850000000006</v>
      </c>
      <c r="V12" s="49">
        <f>VLOOKUP($B12,'Taryfa PSG'!$B$4:$D$10,2,0)</f>
        <v>4.92</v>
      </c>
      <c r="W12" s="27">
        <f t="shared" si="4"/>
        <v>15375.49</v>
      </c>
      <c r="X12" s="26">
        <f>VLOOKUP($B12,'Taryfa PSG'!$B$4:$D$10,3,0)</f>
        <v>11.7</v>
      </c>
      <c r="Y12" s="15">
        <f t="shared" si="5"/>
        <v>5054.3999999999996</v>
      </c>
      <c r="Z12" s="72">
        <f t="shared" si="0"/>
        <v>20429.89</v>
      </c>
      <c r="AA12" s="36">
        <f t="shared" si="1"/>
        <v>99372.74</v>
      </c>
      <c r="AB12" s="34">
        <v>0.23</v>
      </c>
      <c r="AC12" s="35">
        <f t="shared" si="6"/>
        <v>22855.73</v>
      </c>
      <c r="AD12" s="37">
        <f t="shared" ref="AD12" si="18">+AC12+AA12</f>
        <v>122228.47</v>
      </c>
    </row>
    <row r="13" spans="2:30" ht="30.75" customHeight="1" x14ac:dyDescent="0.2">
      <c r="B13" s="42" t="s">
        <v>48</v>
      </c>
      <c r="C13" s="13">
        <v>1</v>
      </c>
      <c r="D13" s="13">
        <v>0</v>
      </c>
      <c r="E13" s="31">
        <v>0.98</v>
      </c>
      <c r="F13" s="31">
        <f t="shared" ref="F13:F14" si="19">100%-E13</f>
        <v>2.0000000000000018E-2</v>
      </c>
      <c r="G13" s="30" t="s">
        <v>4</v>
      </c>
      <c r="H13" s="13">
        <v>12</v>
      </c>
      <c r="I13" s="13" t="s">
        <v>40</v>
      </c>
      <c r="J13" s="24">
        <v>8702</v>
      </c>
      <c r="K13" s="24">
        <v>178</v>
      </c>
      <c r="L13" s="24">
        <v>0</v>
      </c>
      <c r="M13" s="24">
        <v>0</v>
      </c>
      <c r="N13" s="47">
        <f t="shared" ref="N13:N14" si="20">+J13+K13+L13+M13</f>
        <v>8880</v>
      </c>
      <c r="O13" s="38">
        <v>23.965</v>
      </c>
      <c r="P13" s="39"/>
      <c r="Q13" s="39">
        <v>24.355</v>
      </c>
      <c r="R13" s="39"/>
      <c r="S13" s="21">
        <v>8.81</v>
      </c>
      <c r="T13" s="21"/>
      <c r="U13" s="46">
        <f t="shared" ref="U13:U14" si="21">+ROUND((J13*O13/100+K13*P13/100+L13*Q13/100+M13*R13/100+C13*H13*S13+D13*H13*T13),2)</f>
        <v>2191.15</v>
      </c>
      <c r="V13" s="49">
        <f>VLOOKUP($B13,'Taryfa PSG'!$B$4:$D$10,2,0)</f>
        <v>4.92</v>
      </c>
      <c r="W13" s="27">
        <f t="shared" ref="W13:W14" si="22">+ROUND(N13*V13/100,2)</f>
        <v>436.9</v>
      </c>
      <c r="X13" s="26">
        <f>VLOOKUP($B13,'Taryfa PSG'!$B$4:$D$10,3,0)</f>
        <v>11.7</v>
      </c>
      <c r="Y13" s="15">
        <f t="shared" ref="Y13:Y14" si="23">+ROUND((C13+D13)*H13*X13,2)</f>
        <v>140.4</v>
      </c>
      <c r="Z13" s="72">
        <f t="shared" ref="Z13:Z14" si="24">+W13+Y13</f>
        <v>577.29999999999995</v>
      </c>
      <c r="AA13" s="36">
        <f t="shared" ref="AA13:AA14" si="25">+U13+Z13</f>
        <v>2768.45</v>
      </c>
      <c r="AB13" s="34">
        <v>0.23</v>
      </c>
      <c r="AC13" s="35">
        <f t="shared" ref="AC13:AC14" si="26">+ROUND(AA13*AB13,2)</f>
        <v>636.74</v>
      </c>
      <c r="AD13" s="37">
        <f t="shared" ref="AD13:AD14" si="27">+AC13+AA13</f>
        <v>3405.1899999999996</v>
      </c>
    </row>
    <row r="14" spans="2:30" ht="30.75" customHeight="1" x14ac:dyDescent="0.2">
      <c r="B14" s="42" t="s">
        <v>48</v>
      </c>
      <c r="C14" s="13">
        <v>1</v>
      </c>
      <c r="D14" s="13">
        <v>0</v>
      </c>
      <c r="E14" s="31">
        <v>0.9</v>
      </c>
      <c r="F14" s="31">
        <f t="shared" si="19"/>
        <v>9.9999999999999978E-2</v>
      </c>
      <c r="G14" s="30" t="s">
        <v>4</v>
      </c>
      <c r="H14" s="13">
        <v>12</v>
      </c>
      <c r="I14" s="13" t="s">
        <v>40</v>
      </c>
      <c r="J14" s="24">
        <v>3456</v>
      </c>
      <c r="K14" s="24">
        <v>384</v>
      </c>
      <c r="L14" s="24">
        <v>0</v>
      </c>
      <c r="M14" s="24">
        <v>0</v>
      </c>
      <c r="N14" s="47">
        <f t="shared" si="20"/>
        <v>3840</v>
      </c>
      <c r="O14" s="38">
        <v>23.965</v>
      </c>
      <c r="P14" s="39"/>
      <c r="Q14" s="39">
        <v>24.355</v>
      </c>
      <c r="R14" s="39"/>
      <c r="S14" s="21">
        <v>8.81</v>
      </c>
      <c r="T14" s="21"/>
      <c r="U14" s="46">
        <f t="shared" si="21"/>
        <v>933.95</v>
      </c>
      <c r="V14" s="49">
        <f>VLOOKUP($B14,'Taryfa PSG'!$B$4:$D$10,2,0)</f>
        <v>4.92</v>
      </c>
      <c r="W14" s="27">
        <f t="shared" si="22"/>
        <v>188.93</v>
      </c>
      <c r="X14" s="26">
        <f>VLOOKUP($B14,'Taryfa PSG'!$B$4:$D$10,3,0)</f>
        <v>11.7</v>
      </c>
      <c r="Y14" s="15">
        <f t="shared" si="23"/>
        <v>140.4</v>
      </c>
      <c r="Z14" s="72">
        <f t="shared" si="24"/>
        <v>329.33000000000004</v>
      </c>
      <c r="AA14" s="36">
        <f t="shared" si="25"/>
        <v>1263.2800000000002</v>
      </c>
      <c r="AB14" s="34">
        <v>0.23</v>
      </c>
      <c r="AC14" s="35">
        <f t="shared" si="26"/>
        <v>290.55</v>
      </c>
      <c r="AD14" s="37">
        <f t="shared" si="27"/>
        <v>1553.8300000000002</v>
      </c>
    </row>
    <row r="15" spans="2:30" ht="30.75" customHeight="1" x14ac:dyDescent="0.2">
      <c r="B15" s="42" t="s">
        <v>48</v>
      </c>
      <c r="C15" s="13">
        <v>0</v>
      </c>
      <c r="D15" s="13">
        <v>6</v>
      </c>
      <c r="E15" s="31">
        <v>0</v>
      </c>
      <c r="F15" s="31">
        <f t="shared" si="2"/>
        <v>1</v>
      </c>
      <c r="G15" s="30" t="s">
        <v>4</v>
      </c>
      <c r="H15" s="13">
        <v>12</v>
      </c>
      <c r="I15" s="13" t="s">
        <v>40</v>
      </c>
      <c r="J15" s="24">
        <v>0</v>
      </c>
      <c r="K15" s="24">
        <v>14280</v>
      </c>
      <c r="L15" s="24">
        <v>0</v>
      </c>
      <c r="M15" s="24">
        <v>21360</v>
      </c>
      <c r="N15" s="47">
        <f t="shared" ref="N15" si="28">+J15+K15+L15+M15</f>
        <v>35640</v>
      </c>
      <c r="O15" s="38">
        <v>23.965</v>
      </c>
      <c r="P15" s="39"/>
      <c r="Q15" s="39">
        <v>24.355</v>
      </c>
      <c r="R15" s="39"/>
      <c r="S15" s="21">
        <v>8.81</v>
      </c>
      <c r="T15" s="21"/>
      <c r="U15" s="46">
        <f t="shared" ref="U15" si="29">+ROUND((J15*O15/100+K15*P15/100+L15*Q15/100+M15*R15/100+C15*H15*S15+D15*H15*T15),2)</f>
        <v>0</v>
      </c>
      <c r="V15" s="49">
        <f>VLOOKUP($B15,'Taryfa PSG'!$B$4:$D$10,2,0)</f>
        <v>4.92</v>
      </c>
      <c r="W15" s="27">
        <f t="shared" si="4"/>
        <v>1753.49</v>
      </c>
      <c r="X15" s="26">
        <f>VLOOKUP($B15,'Taryfa PSG'!$B$4:$D$10,3,0)</f>
        <v>11.7</v>
      </c>
      <c r="Y15" s="15">
        <f t="shared" si="5"/>
        <v>842.4</v>
      </c>
      <c r="Z15" s="72">
        <f t="shared" si="0"/>
        <v>2595.89</v>
      </c>
      <c r="AA15" s="36">
        <f t="shared" si="1"/>
        <v>2595.89</v>
      </c>
      <c r="AB15" s="34">
        <v>0.23</v>
      </c>
      <c r="AC15" s="35">
        <f t="shared" si="6"/>
        <v>597.04999999999995</v>
      </c>
      <c r="AD15" s="37">
        <f t="shared" ref="AD15" si="30">+AC15+AA15</f>
        <v>3192.9399999999996</v>
      </c>
    </row>
    <row r="16" spans="2:30" ht="30.75" customHeight="1" x14ac:dyDescent="0.2">
      <c r="B16" s="41" t="s">
        <v>49</v>
      </c>
      <c r="C16" s="13">
        <v>44</v>
      </c>
      <c r="D16" s="13">
        <v>0</v>
      </c>
      <c r="E16" s="31">
        <v>1</v>
      </c>
      <c r="F16" s="31">
        <f t="shared" si="2"/>
        <v>0</v>
      </c>
      <c r="G16" s="30" t="s">
        <v>4</v>
      </c>
      <c r="H16" s="13">
        <v>12</v>
      </c>
      <c r="I16" s="13" t="s">
        <v>40</v>
      </c>
      <c r="J16" s="24">
        <v>1639050</v>
      </c>
      <c r="K16" s="24">
        <v>0</v>
      </c>
      <c r="L16" s="24">
        <v>252780</v>
      </c>
      <c r="M16" s="24">
        <v>0</v>
      </c>
      <c r="N16" s="47">
        <f t="shared" ref="N16:N32" si="31">+J16+K16+L16+M16</f>
        <v>1891830</v>
      </c>
      <c r="O16" s="38">
        <v>23.965</v>
      </c>
      <c r="P16" s="39"/>
      <c r="Q16" s="39">
        <v>24.355</v>
      </c>
      <c r="R16" s="39"/>
      <c r="S16" s="21">
        <v>10.02</v>
      </c>
      <c r="T16" s="21"/>
      <c r="U16" s="46">
        <f t="shared" ref="U16:U32" si="32">+ROUND((J16*O16/100+K16*P16/100+L16*Q16/100+M16*R16/100+C16*H16*S16+D16*H16*T16),2)</f>
        <v>459653.46</v>
      </c>
      <c r="V16" s="49">
        <f>VLOOKUP($B16,'Taryfa PSG'!$B$4:$D$10,2,0)</f>
        <v>3.6890000000000001</v>
      </c>
      <c r="W16" s="27">
        <f t="shared" si="4"/>
        <v>69789.61</v>
      </c>
      <c r="X16" s="26">
        <f>VLOOKUP($B16,'Taryfa PSG'!$B$4:$D$10,3,0)</f>
        <v>45.19</v>
      </c>
      <c r="Y16" s="15">
        <f t="shared" si="5"/>
        <v>23860.32</v>
      </c>
      <c r="Z16" s="72">
        <f t="shared" si="0"/>
        <v>93649.93</v>
      </c>
      <c r="AA16" s="36">
        <f t="shared" si="1"/>
        <v>553303.39</v>
      </c>
      <c r="AB16" s="34">
        <v>0.23</v>
      </c>
      <c r="AC16" s="35">
        <f t="shared" si="6"/>
        <v>127259.78</v>
      </c>
      <c r="AD16" s="37">
        <f t="shared" ref="AD16:AD32" si="33">+AC16+AA16</f>
        <v>680563.17</v>
      </c>
    </row>
    <row r="17" spans="2:30" ht="30.75" customHeight="1" x14ac:dyDescent="0.2">
      <c r="B17" s="41" t="s">
        <v>49</v>
      </c>
      <c r="C17" s="13">
        <v>1</v>
      </c>
      <c r="D17" s="13">
        <v>0</v>
      </c>
      <c r="E17" s="31">
        <v>0.99970000000000003</v>
      </c>
      <c r="F17" s="31">
        <f t="shared" si="2"/>
        <v>2.9999999999996696E-4</v>
      </c>
      <c r="G17" s="30" t="s">
        <v>4</v>
      </c>
      <c r="H17" s="13">
        <v>12</v>
      </c>
      <c r="I17" s="13" t="s">
        <v>40</v>
      </c>
      <c r="J17" s="24">
        <v>39368</v>
      </c>
      <c r="K17" s="24">
        <v>12</v>
      </c>
      <c r="L17" s="24">
        <v>0</v>
      </c>
      <c r="M17" s="24">
        <v>0</v>
      </c>
      <c r="N17" s="47">
        <f t="shared" si="31"/>
        <v>39380</v>
      </c>
      <c r="O17" s="38">
        <v>23.965</v>
      </c>
      <c r="P17" s="39"/>
      <c r="Q17" s="39">
        <v>24.355</v>
      </c>
      <c r="R17" s="39"/>
      <c r="S17" s="21">
        <v>10.02</v>
      </c>
      <c r="T17" s="21"/>
      <c r="U17" s="46">
        <f t="shared" si="32"/>
        <v>9554.7800000000007</v>
      </c>
      <c r="V17" s="49">
        <f>VLOOKUP($B17,'Taryfa PSG'!$B$4:$D$10,2,0)</f>
        <v>3.6890000000000001</v>
      </c>
      <c r="W17" s="27">
        <f t="shared" si="4"/>
        <v>1452.73</v>
      </c>
      <c r="X17" s="26">
        <f>VLOOKUP($B17,'Taryfa PSG'!$B$4:$D$10,3,0)</f>
        <v>45.19</v>
      </c>
      <c r="Y17" s="15">
        <f t="shared" si="5"/>
        <v>542.28</v>
      </c>
      <c r="Z17" s="72">
        <f t="shared" si="0"/>
        <v>1995.01</v>
      </c>
      <c r="AA17" s="36">
        <f t="shared" si="1"/>
        <v>11549.79</v>
      </c>
      <c r="AB17" s="34">
        <v>0.23</v>
      </c>
      <c r="AC17" s="35">
        <f t="shared" si="6"/>
        <v>2656.45</v>
      </c>
      <c r="AD17" s="37">
        <f t="shared" si="33"/>
        <v>14206.240000000002</v>
      </c>
    </row>
    <row r="18" spans="2:30" ht="30.75" customHeight="1" x14ac:dyDescent="0.2">
      <c r="B18" s="41" t="s">
        <v>49</v>
      </c>
      <c r="C18" s="13">
        <v>1</v>
      </c>
      <c r="D18" s="13">
        <v>0</v>
      </c>
      <c r="E18" s="51">
        <v>0.97</v>
      </c>
      <c r="F18" s="31">
        <f t="shared" si="2"/>
        <v>3.0000000000000027E-2</v>
      </c>
      <c r="G18" s="30" t="s">
        <v>4</v>
      </c>
      <c r="H18" s="13">
        <v>12</v>
      </c>
      <c r="I18" s="13" t="s">
        <v>40</v>
      </c>
      <c r="J18" s="24">
        <v>15006</v>
      </c>
      <c r="K18" s="24">
        <v>464</v>
      </c>
      <c r="L18" s="24">
        <v>0</v>
      </c>
      <c r="M18" s="24">
        <v>0</v>
      </c>
      <c r="N18" s="47">
        <f t="shared" si="31"/>
        <v>15470</v>
      </c>
      <c r="O18" s="38">
        <v>23.965</v>
      </c>
      <c r="P18" s="39"/>
      <c r="Q18" s="39">
        <v>24.355</v>
      </c>
      <c r="R18" s="39"/>
      <c r="S18" s="21">
        <v>10.02</v>
      </c>
      <c r="T18" s="21"/>
      <c r="U18" s="46">
        <f t="shared" si="32"/>
        <v>3716.43</v>
      </c>
      <c r="V18" s="49">
        <f>VLOOKUP($B18,'Taryfa PSG'!$B$4:$D$10,2,0)</f>
        <v>3.6890000000000001</v>
      </c>
      <c r="W18" s="27">
        <f t="shared" ref="W18:W32" si="34">+ROUND(N18*V18/100,2)</f>
        <v>570.69000000000005</v>
      </c>
      <c r="X18" s="26">
        <f>VLOOKUP($B18,'Taryfa PSG'!$B$4:$D$10,3,0)</f>
        <v>45.19</v>
      </c>
      <c r="Y18" s="15">
        <f t="shared" ref="Y18:Y32" si="35">+ROUND((C18+D18)*H18*X18,2)</f>
        <v>542.28</v>
      </c>
      <c r="Z18" s="72">
        <f t="shared" si="0"/>
        <v>1112.97</v>
      </c>
      <c r="AA18" s="36">
        <f t="shared" si="1"/>
        <v>4829.3999999999996</v>
      </c>
      <c r="AB18" s="34">
        <v>0.23</v>
      </c>
      <c r="AC18" s="35">
        <f t="shared" si="6"/>
        <v>1110.76</v>
      </c>
      <c r="AD18" s="37">
        <f t="shared" si="33"/>
        <v>5940.16</v>
      </c>
    </row>
    <row r="19" spans="2:30" ht="30.75" customHeight="1" x14ac:dyDescent="0.2">
      <c r="B19" s="41" t="s">
        <v>49</v>
      </c>
      <c r="C19" s="13">
        <v>1</v>
      </c>
      <c r="D19" s="13">
        <v>0</v>
      </c>
      <c r="E19" s="51">
        <v>0.95</v>
      </c>
      <c r="F19" s="31">
        <f t="shared" si="2"/>
        <v>5.0000000000000044E-2</v>
      </c>
      <c r="G19" s="30" t="s">
        <v>4</v>
      </c>
      <c r="H19" s="13">
        <v>12</v>
      </c>
      <c r="I19" s="13" t="s">
        <v>40</v>
      </c>
      <c r="J19" s="24">
        <v>17110</v>
      </c>
      <c r="K19" s="24">
        <v>900</v>
      </c>
      <c r="L19" s="24">
        <v>0</v>
      </c>
      <c r="M19" s="24">
        <v>0</v>
      </c>
      <c r="N19" s="47">
        <f t="shared" si="31"/>
        <v>18010</v>
      </c>
      <c r="O19" s="38">
        <v>23.965</v>
      </c>
      <c r="P19" s="39"/>
      <c r="Q19" s="39">
        <v>24.355</v>
      </c>
      <c r="R19" s="39"/>
      <c r="S19" s="21">
        <v>10.02</v>
      </c>
      <c r="T19" s="21"/>
      <c r="U19" s="46">
        <f t="shared" si="32"/>
        <v>4220.6499999999996</v>
      </c>
      <c r="V19" s="49">
        <f>VLOOKUP($B19,'Taryfa PSG'!$B$4:$D$10,2,0)</f>
        <v>3.6890000000000001</v>
      </c>
      <c r="W19" s="27">
        <f t="shared" si="34"/>
        <v>664.39</v>
      </c>
      <c r="X19" s="26">
        <f>VLOOKUP($B19,'Taryfa PSG'!$B$4:$D$10,3,0)</f>
        <v>45.19</v>
      </c>
      <c r="Y19" s="15">
        <f t="shared" si="35"/>
        <v>542.28</v>
      </c>
      <c r="Z19" s="72">
        <f t="shared" si="0"/>
        <v>1206.67</v>
      </c>
      <c r="AA19" s="36">
        <f t="shared" si="1"/>
        <v>5427.32</v>
      </c>
      <c r="AB19" s="34">
        <v>0.23</v>
      </c>
      <c r="AC19" s="35">
        <f t="shared" si="6"/>
        <v>1248.28</v>
      </c>
      <c r="AD19" s="37">
        <f t="shared" si="33"/>
        <v>6675.5999999999995</v>
      </c>
    </row>
    <row r="20" spans="2:30" ht="30.75" customHeight="1" x14ac:dyDescent="0.2">
      <c r="B20" s="41" t="s">
        <v>49</v>
      </c>
      <c r="C20" s="13">
        <v>1</v>
      </c>
      <c r="D20" s="13">
        <v>0</v>
      </c>
      <c r="E20" s="51">
        <v>0.85</v>
      </c>
      <c r="F20" s="31">
        <f t="shared" ref="F20:F31" si="36">100%-E20</f>
        <v>0.15000000000000002</v>
      </c>
      <c r="G20" s="30" t="s">
        <v>4</v>
      </c>
      <c r="H20" s="13">
        <v>12</v>
      </c>
      <c r="I20" s="13" t="s">
        <v>40</v>
      </c>
      <c r="J20" s="24">
        <v>16584</v>
      </c>
      <c r="K20" s="24">
        <v>2926</v>
      </c>
      <c r="L20" s="24">
        <v>0</v>
      </c>
      <c r="M20" s="24">
        <v>0</v>
      </c>
      <c r="N20" s="47">
        <f t="shared" ref="N20:N31" si="37">+J20+K20+L20+M20</f>
        <v>19510</v>
      </c>
      <c r="O20" s="38">
        <v>23.965</v>
      </c>
      <c r="P20" s="39"/>
      <c r="Q20" s="39">
        <v>24.355</v>
      </c>
      <c r="R20" s="39"/>
      <c r="S20" s="21">
        <v>10.02</v>
      </c>
      <c r="T20" s="21"/>
      <c r="U20" s="46">
        <f t="shared" ref="U20:U31" si="38">+ROUND((J20*O20/100+K20*P20/100+L20*Q20/100+M20*R20/100+C20*H20*S20+D20*H20*T20),2)</f>
        <v>4094.6</v>
      </c>
      <c r="V20" s="49">
        <f>VLOOKUP($B20,'Taryfa PSG'!$B$4:$D$10,2,0)</f>
        <v>3.6890000000000001</v>
      </c>
      <c r="W20" s="27">
        <f t="shared" ref="W20:W31" si="39">+ROUND(N20*V20/100,2)</f>
        <v>719.72</v>
      </c>
      <c r="X20" s="26">
        <f>VLOOKUP($B20,'Taryfa PSG'!$B$4:$D$10,3,0)</f>
        <v>45.19</v>
      </c>
      <c r="Y20" s="15">
        <f t="shared" ref="Y20:Y31" si="40">+ROUND((C20+D20)*H20*X20,2)</f>
        <v>542.28</v>
      </c>
      <c r="Z20" s="72">
        <f t="shared" ref="Z20:Z31" si="41">+W20+Y20</f>
        <v>1262</v>
      </c>
      <c r="AA20" s="36">
        <f t="shared" ref="AA20:AA31" si="42">+U20+Z20</f>
        <v>5356.6</v>
      </c>
      <c r="AB20" s="34">
        <v>0.23</v>
      </c>
      <c r="AC20" s="35">
        <f t="shared" ref="AC20:AC31" si="43">+ROUND(AA20*AB20,2)</f>
        <v>1232.02</v>
      </c>
      <c r="AD20" s="37">
        <f t="shared" ref="AD20:AD31" si="44">+AC20+AA20</f>
        <v>6588.6200000000008</v>
      </c>
    </row>
    <row r="21" spans="2:30" ht="30.75" customHeight="1" x14ac:dyDescent="0.2">
      <c r="B21" s="41" t="s">
        <v>49</v>
      </c>
      <c r="C21" s="13">
        <v>1</v>
      </c>
      <c r="D21" s="13">
        <v>0</v>
      </c>
      <c r="E21" s="51">
        <v>0.62890000000000001</v>
      </c>
      <c r="F21" s="31">
        <f t="shared" si="36"/>
        <v>0.37109999999999999</v>
      </c>
      <c r="G21" s="30" t="s">
        <v>4</v>
      </c>
      <c r="H21" s="13">
        <v>12</v>
      </c>
      <c r="I21" s="13" t="s">
        <v>40</v>
      </c>
      <c r="J21" s="24">
        <v>38438</v>
      </c>
      <c r="K21" s="24">
        <v>22682</v>
      </c>
      <c r="L21" s="24">
        <v>0</v>
      </c>
      <c r="M21" s="24">
        <v>0</v>
      </c>
      <c r="N21" s="47">
        <f t="shared" si="37"/>
        <v>61120</v>
      </c>
      <c r="O21" s="38">
        <v>23.965</v>
      </c>
      <c r="P21" s="39"/>
      <c r="Q21" s="39">
        <v>24.355</v>
      </c>
      <c r="R21" s="39"/>
      <c r="S21" s="21">
        <v>10.02</v>
      </c>
      <c r="T21" s="21"/>
      <c r="U21" s="46">
        <f t="shared" si="38"/>
        <v>9331.91</v>
      </c>
      <c r="V21" s="49">
        <f>VLOOKUP($B21,'Taryfa PSG'!$B$4:$D$10,2,0)</f>
        <v>3.6890000000000001</v>
      </c>
      <c r="W21" s="27">
        <f t="shared" si="39"/>
        <v>2254.7199999999998</v>
      </c>
      <c r="X21" s="26">
        <f>VLOOKUP($B21,'Taryfa PSG'!$B$4:$D$10,3,0)</f>
        <v>45.19</v>
      </c>
      <c r="Y21" s="15">
        <f t="shared" si="40"/>
        <v>542.28</v>
      </c>
      <c r="Z21" s="72">
        <f t="shared" si="41"/>
        <v>2797</v>
      </c>
      <c r="AA21" s="36">
        <f t="shared" si="42"/>
        <v>12128.91</v>
      </c>
      <c r="AB21" s="34">
        <v>0.23</v>
      </c>
      <c r="AC21" s="35">
        <f t="shared" si="43"/>
        <v>2789.65</v>
      </c>
      <c r="AD21" s="37">
        <f t="shared" si="44"/>
        <v>14918.56</v>
      </c>
    </row>
    <row r="22" spans="2:30" ht="30.75" customHeight="1" x14ac:dyDescent="0.2">
      <c r="B22" s="41" t="s">
        <v>49</v>
      </c>
      <c r="C22" s="13">
        <v>1</v>
      </c>
      <c r="D22" s="13">
        <v>0</v>
      </c>
      <c r="E22" s="51">
        <v>0.62209999999999999</v>
      </c>
      <c r="F22" s="31">
        <f t="shared" ref="F22:F30" si="45">100%-E22</f>
        <v>0.37790000000000001</v>
      </c>
      <c r="G22" s="30" t="s">
        <v>4</v>
      </c>
      <c r="H22" s="13">
        <v>12</v>
      </c>
      <c r="I22" s="13" t="s">
        <v>40</v>
      </c>
      <c r="J22" s="24">
        <v>46098</v>
      </c>
      <c r="K22" s="24">
        <v>28002</v>
      </c>
      <c r="L22" s="24">
        <v>0</v>
      </c>
      <c r="M22" s="24">
        <v>0</v>
      </c>
      <c r="N22" s="47">
        <f t="shared" ref="N22:N30" si="46">+J22+K22+L22+M22</f>
        <v>74100</v>
      </c>
      <c r="O22" s="38">
        <v>23.965</v>
      </c>
      <c r="P22" s="39"/>
      <c r="Q22" s="39">
        <v>24.355</v>
      </c>
      <c r="R22" s="39"/>
      <c r="S22" s="21">
        <v>10.02</v>
      </c>
      <c r="T22" s="21"/>
      <c r="U22" s="46">
        <f t="shared" ref="U22:U30" si="47">+ROUND((J22*O22/100+K22*P22/100+L22*Q22/100+M22*R22/100+C22*H22*S22+D22*H22*T22),2)</f>
        <v>11167.63</v>
      </c>
      <c r="V22" s="49">
        <f>VLOOKUP($B22,'Taryfa PSG'!$B$4:$D$10,2,0)</f>
        <v>3.6890000000000001</v>
      </c>
      <c r="W22" s="27">
        <f t="shared" ref="W22:W30" si="48">+ROUND(N22*V22/100,2)</f>
        <v>2733.55</v>
      </c>
      <c r="X22" s="26">
        <f>VLOOKUP($B22,'Taryfa PSG'!$B$4:$D$10,3,0)</f>
        <v>45.19</v>
      </c>
      <c r="Y22" s="15">
        <f t="shared" ref="Y22:Y30" si="49">+ROUND((C22+D22)*H22*X22,2)</f>
        <v>542.28</v>
      </c>
      <c r="Z22" s="72">
        <f t="shared" ref="Z22:Z30" si="50">+W22+Y22</f>
        <v>3275.83</v>
      </c>
      <c r="AA22" s="36">
        <f t="shared" ref="AA22:AA30" si="51">+U22+Z22</f>
        <v>14443.46</v>
      </c>
      <c r="AB22" s="34">
        <v>0.23</v>
      </c>
      <c r="AC22" s="35">
        <f t="shared" ref="AC22:AC30" si="52">+ROUND(AA22*AB22,2)</f>
        <v>3322</v>
      </c>
      <c r="AD22" s="37">
        <f t="shared" ref="AD22:AD30" si="53">+AC22+AA22</f>
        <v>17765.46</v>
      </c>
    </row>
    <row r="23" spans="2:30" ht="30.75" customHeight="1" x14ac:dyDescent="0.2">
      <c r="B23" s="41" t="s">
        <v>49</v>
      </c>
      <c r="C23" s="13">
        <v>1</v>
      </c>
      <c r="D23" s="13">
        <v>0</v>
      </c>
      <c r="E23" s="51">
        <v>0.6</v>
      </c>
      <c r="F23" s="31">
        <f t="shared" si="45"/>
        <v>0.4</v>
      </c>
      <c r="G23" s="30" t="s">
        <v>4</v>
      </c>
      <c r="H23" s="13">
        <v>12</v>
      </c>
      <c r="I23" s="13" t="s">
        <v>40</v>
      </c>
      <c r="J23" s="24">
        <v>0</v>
      </c>
      <c r="K23" s="24">
        <v>0</v>
      </c>
      <c r="L23" s="24">
        <v>9570</v>
      </c>
      <c r="M23" s="24">
        <v>6380</v>
      </c>
      <c r="N23" s="47">
        <f t="shared" si="46"/>
        <v>15950</v>
      </c>
      <c r="O23" s="38">
        <v>23.965</v>
      </c>
      <c r="P23" s="39"/>
      <c r="Q23" s="39">
        <v>24.355</v>
      </c>
      <c r="R23" s="39"/>
      <c r="S23" s="21">
        <v>10.02</v>
      </c>
      <c r="T23" s="21"/>
      <c r="U23" s="46">
        <f t="shared" si="47"/>
        <v>2451.0100000000002</v>
      </c>
      <c r="V23" s="49">
        <f>VLOOKUP($B23,'Taryfa PSG'!$B$4:$D$10,2,0)</f>
        <v>3.6890000000000001</v>
      </c>
      <c r="W23" s="27">
        <f t="shared" si="48"/>
        <v>588.4</v>
      </c>
      <c r="X23" s="26">
        <f>VLOOKUP($B23,'Taryfa PSG'!$B$4:$D$10,3,0)</f>
        <v>45.19</v>
      </c>
      <c r="Y23" s="15">
        <f t="shared" si="49"/>
        <v>542.28</v>
      </c>
      <c r="Z23" s="72">
        <f t="shared" si="50"/>
        <v>1130.6799999999998</v>
      </c>
      <c r="AA23" s="36">
        <f t="shared" si="51"/>
        <v>3581.69</v>
      </c>
      <c r="AB23" s="34">
        <v>0.23</v>
      </c>
      <c r="AC23" s="35">
        <f t="shared" si="52"/>
        <v>823.79</v>
      </c>
      <c r="AD23" s="37">
        <f t="shared" si="53"/>
        <v>4405.4799999999996</v>
      </c>
    </row>
    <row r="24" spans="2:30" ht="30.75" customHeight="1" x14ac:dyDescent="0.2">
      <c r="B24" s="41" t="s">
        <v>49</v>
      </c>
      <c r="C24" s="13">
        <v>1</v>
      </c>
      <c r="D24" s="13">
        <v>0</v>
      </c>
      <c r="E24" s="51">
        <v>0.46350000000000002</v>
      </c>
      <c r="F24" s="31">
        <f t="shared" si="45"/>
        <v>0.53649999999999998</v>
      </c>
      <c r="G24" s="30" t="s">
        <v>4</v>
      </c>
      <c r="H24" s="13">
        <v>12</v>
      </c>
      <c r="I24" s="13" t="s">
        <v>40</v>
      </c>
      <c r="J24" s="24">
        <v>19004</v>
      </c>
      <c r="K24" s="24">
        <v>21996</v>
      </c>
      <c r="L24" s="24">
        <v>0</v>
      </c>
      <c r="M24" s="24">
        <v>0</v>
      </c>
      <c r="N24" s="47">
        <f t="shared" si="46"/>
        <v>41000</v>
      </c>
      <c r="O24" s="38">
        <v>23.965</v>
      </c>
      <c r="P24" s="39"/>
      <c r="Q24" s="39">
        <v>24.355</v>
      </c>
      <c r="R24" s="39"/>
      <c r="S24" s="21">
        <v>10.02</v>
      </c>
      <c r="T24" s="21"/>
      <c r="U24" s="46">
        <f t="shared" si="47"/>
        <v>4674.55</v>
      </c>
      <c r="V24" s="49">
        <f>VLOOKUP($B24,'Taryfa PSG'!$B$4:$D$10,2,0)</f>
        <v>3.6890000000000001</v>
      </c>
      <c r="W24" s="27">
        <f t="shared" si="48"/>
        <v>1512.49</v>
      </c>
      <c r="X24" s="26">
        <f>VLOOKUP($B24,'Taryfa PSG'!$B$4:$D$10,3,0)</f>
        <v>45.19</v>
      </c>
      <c r="Y24" s="15">
        <f t="shared" si="49"/>
        <v>542.28</v>
      </c>
      <c r="Z24" s="72">
        <f t="shared" si="50"/>
        <v>2054.77</v>
      </c>
      <c r="AA24" s="36">
        <f t="shared" si="51"/>
        <v>6729.32</v>
      </c>
      <c r="AB24" s="34">
        <v>0.23</v>
      </c>
      <c r="AC24" s="35">
        <f t="shared" si="52"/>
        <v>1547.74</v>
      </c>
      <c r="AD24" s="37">
        <f t="shared" si="53"/>
        <v>8277.06</v>
      </c>
    </row>
    <row r="25" spans="2:30" ht="30.75" customHeight="1" x14ac:dyDescent="0.2">
      <c r="B25" s="41" t="s">
        <v>49</v>
      </c>
      <c r="C25" s="13">
        <v>1</v>
      </c>
      <c r="D25" s="13">
        <v>0</v>
      </c>
      <c r="E25" s="51">
        <v>0.45</v>
      </c>
      <c r="F25" s="31">
        <f t="shared" si="45"/>
        <v>0.55000000000000004</v>
      </c>
      <c r="G25" s="30" t="s">
        <v>4</v>
      </c>
      <c r="H25" s="13">
        <v>12</v>
      </c>
      <c r="I25" s="13" t="s">
        <v>40</v>
      </c>
      <c r="J25" s="24">
        <v>26721</v>
      </c>
      <c r="K25" s="24">
        <v>32659</v>
      </c>
      <c r="L25" s="24">
        <v>0</v>
      </c>
      <c r="M25" s="24">
        <v>0</v>
      </c>
      <c r="N25" s="47">
        <f t="shared" si="46"/>
        <v>59380</v>
      </c>
      <c r="O25" s="38">
        <v>23.965</v>
      </c>
      <c r="P25" s="39"/>
      <c r="Q25" s="39">
        <v>24.355</v>
      </c>
      <c r="R25" s="39"/>
      <c r="S25" s="21">
        <v>10.02</v>
      </c>
      <c r="T25" s="21"/>
      <c r="U25" s="46">
        <f t="shared" si="47"/>
        <v>6523.93</v>
      </c>
      <c r="V25" s="49">
        <f>VLOOKUP($B25,'Taryfa PSG'!$B$4:$D$10,2,0)</f>
        <v>3.6890000000000001</v>
      </c>
      <c r="W25" s="27">
        <f t="shared" si="48"/>
        <v>2190.5300000000002</v>
      </c>
      <c r="X25" s="26">
        <f>VLOOKUP($B25,'Taryfa PSG'!$B$4:$D$10,3,0)</f>
        <v>45.19</v>
      </c>
      <c r="Y25" s="15">
        <f t="shared" si="49"/>
        <v>542.28</v>
      </c>
      <c r="Z25" s="72">
        <f t="shared" si="50"/>
        <v>2732.8100000000004</v>
      </c>
      <c r="AA25" s="36">
        <f t="shared" si="51"/>
        <v>9256.7400000000016</v>
      </c>
      <c r="AB25" s="34">
        <v>0.23</v>
      </c>
      <c r="AC25" s="35">
        <f t="shared" si="52"/>
        <v>2129.0500000000002</v>
      </c>
      <c r="AD25" s="37">
        <f t="shared" si="53"/>
        <v>11385.79</v>
      </c>
    </row>
    <row r="26" spans="2:30" ht="30.75" customHeight="1" x14ac:dyDescent="0.2">
      <c r="B26" s="41" t="s">
        <v>49</v>
      </c>
      <c r="C26" s="13">
        <v>1</v>
      </c>
      <c r="D26" s="13">
        <v>0</v>
      </c>
      <c r="E26" s="51">
        <v>0.32690000000000002</v>
      </c>
      <c r="F26" s="31">
        <f t="shared" si="45"/>
        <v>0.67310000000000003</v>
      </c>
      <c r="G26" s="30" t="s">
        <v>4</v>
      </c>
      <c r="H26" s="13">
        <v>12</v>
      </c>
      <c r="I26" s="13" t="s">
        <v>40</v>
      </c>
      <c r="J26" s="24">
        <v>25573</v>
      </c>
      <c r="K26" s="24">
        <v>52657</v>
      </c>
      <c r="L26" s="24">
        <v>0</v>
      </c>
      <c r="M26" s="24">
        <v>0</v>
      </c>
      <c r="N26" s="47">
        <f t="shared" si="46"/>
        <v>78230</v>
      </c>
      <c r="O26" s="38">
        <v>23.965</v>
      </c>
      <c r="P26" s="39"/>
      <c r="Q26" s="39">
        <v>24.355</v>
      </c>
      <c r="R26" s="39"/>
      <c r="S26" s="21">
        <v>10.02</v>
      </c>
      <c r="T26" s="21"/>
      <c r="U26" s="46">
        <f t="shared" si="47"/>
        <v>6248.81</v>
      </c>
      <c r="V26" s="49">
        <f>VLOOKUP($B26,'Taryfa PSG'!$B$4:$D$10,2,0)</f>
        <v>3.6890000000000001</v>
      </c>
      <c r="W26" s="27">
        <f t="shared" si="48"/>
        <v>2885.9</v>
      </c>
      <c r="X26" s="26">
        <f>VLOOKUP($B26,'Taryfa PSG'!$B$4:$D$10,3,0)</f>
        <v>45.19</v>
      </c>
      <c r="Y26" s="15">
        <f t="shared" si="49"/>
        <v>542.28</v>
      </c>
      <c r="Z26" s="72">
        <f t="shared" si="50"/>
        <v>3428.1800000000003</v>
      </c>
      <c r="AA26" s="36">
        <f t="shared" si="51"/>
        <v>9676.9900000000016</v>
      </c>
      <c r="AB26" s="34">
        <v>0.23</v>
      </c>
      <c r="AC26" s="35">
        <f t="shared" si="52"/>
        <v>2225.71</v>
      </c>
      <c r="AD26" s="37">
        <f t="shared" si="53"/>
        <v>11902.7</v>
      </c>
    </row>
    <row r="27" spans="2:30" ht="30.75" customHeight="1" x14ac:dyDescent="0.2">
      <c r="B27" s="41" t="s">
        <v>49</v>
      </c>
      <c r="C27" s="13">
        <v>1</v>
      </c>
      <c r="D27" s="13">
        <v>0</v>
      </c>
      <c r="E27" s="51">
        <v>0.3135</v>
      </c>
      <c r="F27" s="31">
        <f t="shared" si="45"/>
        <v>0.6865</v>
      </c>
      <c r="G27" s="30" t="s">
        <v>4</v>
      </c>
      <c r="H27" s="13">
        <v>12</v>
      </c>
      <c r="I27" s="13" t="s">
        <v>40</v>
      </c>
      <c r="J27" s="24">
        <v>8101</v>
      </c>
      <c r="K27" s="24">
        <v>17739</v>
      </c>
      <c r="L27" s="24">
        <v>0</v>
      </c>
      <c r="M27" s="24">
        <v>0</v>
      </c>
      <c r="N27" s="47">
        <f t="shared" si="46"/>
        <v>25840</v>
      </c>
      <c r="O27" s="38">
        <v>23.965</v>
      </c>
      <c r="P27" s="39"/>
      <c r="Q27" s="39">
        <v>24.355</v>
      </c>
      <c r="R27" s="39"/>
      <c r="S27" s="21">
        <v>10.02</v>
      </c>
      <c r="T27" s="21"/>
      <c r="U27" s="46">
        <f t="shared" si="47"/>
        <v>2061.64</v>
      </c>
      <c r="V27" s="49">
        <f>VLOOKUP($B27,'Taryfa PSG'!$B$4:$D$10,2,0)</f>
        <v>3.6890000000000001</v>
      </c>
      <c r="W27" s="27">
        <f t="shared" si="48"/>
        <v>953.24</v>
      </c>
      <c r="X27" s="26">
        <f>VLOOKUP($B27,'Taryfa PSG'!$B$4:$D$10,3,0)</f>
        <v>45.19</v>
      </c>
      <c r="Y27" s="15">
        <f t="shared" si="49"/>
        <v>542.28</v>
      </c>
      <c r="Z27" s="72">
        <f t="shared" si="50"/>
        <v>1495.52</v>
      </c>
      <c r="AA27" s="36">
        <f t="shared" si="51"/>
        <v>3557.16</v>
      </c>
      <c r="AB27" s="34">
        <v>0.23</v>
      </c>
      <c r="AC27" s="35">
        <f t="shared" si="52"/>
        <v>818.15</v>
      </c>
      <c r="AD27" s="37">
        <f t="shared" si="53"/>
        <v>4375.3099999999995</v>
      </c>
    </row>
    <row r="28" spans="2:30" ht="30.75" customHeight="1" x14ac:dyDescent="0.2">
      <c r="B28" s="41" t="s">
        <v>49</v>
      </c>
      <c r="C28" s="13">
        <v>1</v>
      </c>
      <c r="D28" s="13">
        <v>0</v>
      </c>
      <c r="E28" s="51">
        <v>0.17249999999999999</v>
      </c>
      <c r="F28" s="31">
        <f t="shared" si="45"/>
        <v>0.82750000000000001</v>
      </c>
      <c r="G28" s="30" t="s">
        <v>4</v>
      </c>
      <c r="H28" s="13">
        <v>12</v>
      </c>
      <c r="I28" s="13" t="s">
        <v>40</v>
      </c>
      <c r="J28" s="24">
        <v>4666</v>
      </c>
      <c r="K28" s="24">
        <v>22384</v>
      </c>
      <c r="L28" s="24">
        <v>0</v>
      </c>
      <c r="M28" s="24">
        <v>0</v>
      </c>
      <c r="N28" s="47">
        <f t="shared" si="46"/>
        <v>27050</v>
      </c>
      <c r="O28" s="38">
        <v>23.965</v>
      </c>
      <c r="P28" s="39"/>
      <c r="Q28" s="39">
        <v>24.355</v>
      </c>
      <c r="R28" s="39"/>
      <c r="S28" s="21">
        <v>10.02</v>
      </c>
      <c r="T28" s="21"/>
      <c r="U28" s="46">
        <f t="shared" si="47"/>
        <v>1238.45</v>
      </c>
      <c r="V28" s="49">
        <f>VLOOKUP($B28,'Taryfa PSG'!$B$4:$D$10,2,0)</f>
        <v>3.6890000000000001</v>
      </c>
      <c r="W28" s="27">
        <f t="shared" si="48"/>
        <v>997.87</v>
      </c>
      <c r="X28" s="26">
        <f>VLOOKUP($B28,'Taryfa PSG'!$B$4:$D$10,3,0)</f>
        <v>45.19</v>
      </c>
      <c r="Y28" s="15">
        <f t="shared" si="49"/>
        <v>542.28</v>
      </c>
      <c r="Z28" s="72">
        <f t="shared" si="50"/>
        <v>1540.15</v>
      </c>
      <c r="AA28" s="36">
        <f t="shared" si="51"/>
        <v>2778.6000000000004</v>
      </c>
      <c r="AB28" s="34">
        <v>0.23</v>
      </c>
      <c r="AC28" s="35">
        <f t="shared" si="52"/>
        <v>639.08000000000004</v>
      </c>
      <c r="AD28" s="37">
        <f t="shared" si="53"/>
        <v>3417.6800000000003</v>
      </c>
    </row>
    <row r="29" spans="2:30" ht="30.75" customHeight="1" x14ac:dyDescent="0.2">
      <c r="B29" s="41" t="s">
        <v>49</v>
      </c>
      <c r="C29" s="13">
        <v>1</v>
      </c>
      <c r="D29" s="13">
        <v>0</v>
      </c>
      <c r="E29" s="51">
        <v>0.1225</v>
      </c>
      <c r="F29" s="31">
        <f t="shared" si="45"/>
        <v>0.87749999999999995</v>
      </c>
      <c r="G29" s="30" t="s">
        <v>4</v>
      </c>
      <c r="H29" s="13">
        <v>12</v>
      </c>
      <c r="I29" s="13" t="s">
        <v>40</v>
      </c>
      <c r="J29" s="24">
        <v>5520</v>
      </c>
      <c r="K29" s="24">
        <v>39540</v>
      </c>
      <c r="L29" s="24">
        <v>0</v>
      </c>
      <c r="M29" s="24">
        <v>0</v>
      </c>
      <c r="N29" s="47">
        <f t="shared" si="46"/>
        <v>45060</v>
      </c>
      <c r="O29" s="38">
        <v>23.965</v>
      </c>
      <c r="P29" s="39"/>
      <c r="Q29" s="39">
        <v>24.355</v>
      </c>
      <c r="R29" s="39"/>
      <c r="S29" s="21">
        <v>10.02</v>
      </c>
      <c r="T29" s="21"/>
      <c r="U29" s="46">
        <f t="shared" si="47"/>
        <v>1443.11</v>
      </c>
      <c r="V29" s="49">
        <f>VLOOKUP($B29,'Taryfa PSG'!$B$4:$D$10,2,0)</f>
        <v>3.6890000000000001</v>
      </c>
      <c r="W29" s="27">
        <f t="shared" si="48"/>
        <v>1662.26</v>
      </c>
      <c r="X29" s="26">
        <f>VLOOKUP($B29,'Taryfa PSG'!$B$4:$D$10,3,0)</f>
        <v>45.19</v>
      </c>
      <c r="Y29" s="15">
        <f t="shared" si="49"/>
        <v>542.28</v>
      </c>
      <c r="Z29" s="72">
        <f t="shared" si="50"/>
        <v>2204.54</v>
      </c>
      <c r="AA29" s="36">
        <f t="shared" si="51"/>
        <v>3647.6499999999996</v>
      </c>
      <c r="AB29" s="34">
        <v>0.23</v>
      </c>
      <c r="AC29" s="35">
        <f t="shared" si="52"/>
        <v>838.96</v>
      </c>
      <c r="AD29" s="37">
        <f t="shared" si="53"/>
        <v>4486.6099999999997</v>
      </c>
    </row>
    <row r="30" spans="2:30" ht="30.75" customHeight="1" x14ac:dyDescent="0.2">
      <c r="B30" s="41" t="s">
        <v>49</v>
      </c>
      <c r="C30" s="13">
        <v>1</v>
      </c>
      <c r="D30" s="13">
        <v>0</v>
      </c>
      <c r="E30" s="51">
        <v>0.1047</v>
      </c>
      <c r="F30" s="31">
        <f t="shared" si="45"/>
        <v>0.89529999999999998</v>
      </c>
      <c r="G30" s="30" t="s">
        <v>4</v>
      </c>
      <c r="H30" s="13">
        <v>12</v>
      </c>
      <c r="I30" s="13" t="s">
        <v>40</v>
      </c>
      <c r="J30" s="24">
        <v>3937</v>
      </c>
      <c r="K30" s="24">
        <v>33663</v>
      </c>
      <c r="L30" s="24">
        <v>0</v>
      </c>
      <c r="M30" s="24">
        <v>0</v>
      </c>
      <c r="N30" s="47">
        <f t="shared" si="46"/>
        <v>37600</v>
      </c>
      <c r="O30" s="38">
        <v>23.965</v>
      </c>
      <c r="P30" s="39"/>
      <c r="Q30" s="39">
        <v>24.355</v>
      </c>
      <c r="R30" s="39"/>
      <c r="S30" s="21">
        <v>10.02</v>
      </c>
      <c r="T30" s="21"/>
      <c r="U30" s="46">
        <f t="shared" si="47"/>
        <v>1063.74</v>
      </c>
      <c r="V30" s="49">
        <f>VLOOKUP($B30,'Taryfa PSG'!$B$4:$D$10,2,0)</f>
        <v>3.6890000000000001</v>
      </c>
      <c r="W30" s="27">
        <f t="shared" si="48"/>
        <v>1387.06</v>
      </c>
      <c r="X30" s="26">
        <f>VLOOKUP($B30,'Taryfa PSG'!$B$4:$D$10,3,0)</f>
        <v>45.19</v>
      </c>
      <c r="Y30" s="15">
        <f t="shared" si="49"/>
        <v>542.28</v>
      </c>
      <c r="Z30" s="72">
        <f t="shared" si="50"/>
        <v>1929.34</v>
      </c>
      <c r="AA30" s="36">
        <f t="shared" si="51"/>
        <v>2993.08</v>
      </c>
      <c r="AB30" s="34">
        <v>0.23</v>
      </c>
      <c r="AC30" s="35">
        <f t="shared" si="52"/>
        <v>688.41</v>
      </c>
      <c r="AD30" s="37">
        <f t="shared" si="53"/>
        <v>3681.49</v>
      </c>
    </row>
    <row r="31" spans="2:30" ht="30.75" customHeight="1" x14ac:dyDescent="0.2">
      <c r="B31" s="41" t="s">
        <v>49</v>
      </c>
      <c r="C31" s="13">
        <v>1</v>
      </c>
      <c r="D31" s="13">
        <v>0</v>
      </c>
      <c r="E31" s="51">
        <v>7.0000000000000007E-2</v>
      </c>
      <c r="F31" s="31">
        <f t="shared" si="36"/>
        <v>0.92999999999999994</v>
      </c>
      <c r="G31" s="30" t="s">
        <v>4</v>
      </c>
      <c r="H31" s="13">
        <v>12</v>
      </c>
      <c r="I31" s="13" t="s">
        <v>40</v>
      </c>
      <c r="J31" s="24">
        <v>5657</v>
      </c>
      <c r="K31" s="24">
        <v>75153</v>
      </c>
      <c r="L31" s="24">
        <v>0</v>
      </c>
      <c r="M31" s="24">
        <v>0</v>
      </c>
      <c r="N31" s="47">
        <f t="shared" si="37"/>
        <v>80810</v>
      </c>
      <c r="O31" s="38">
        <v>23.965</v>
      </c>
      <c r="P31" s="39"/>
      <c r="Q31" s="39">
        <v>24.355</v>
      </c>
      <c r="R31" s="39"/>
      <c r="S31" s="21">
        <v>10.02</v>
      </c>
      <c r="T31" s="21"/>
      <c r="U31" s="46">
        <f t="shared" si="38"/>
        <v>1475.94</v>
      </c>
      <c r="V31" s="49">
        <f>VLOOKUP($B31,'Taryfa PSG'!$B$4:$D$10,2,0)</f>
        <v>3.6890000000000001</v>
      </c>
      <c r="W31" s="27">
        <f t="shared" si="39"/>
        <v>2981.08</v>
      </c>
      <c r="X31" s="26">
        <f>VLOOKUP($B31,'Taryfa PSG'!$B$4:$D$10,3,0)</f>
        <v>45.19</v>
      </c>
      <c r="Y31" s="15">
        <f t="shared" si="40"/>
        <v>542.28</v>
      </c>
      <c r="Z31" s="72">
        <f t="shared" si="41"/>
        <v>3523.3599999999997</v>
      </c>
      <c r="AA31" s="36">
        <f t="shared" si="42"/>
        <v>4999.2999999999993</v>
      </c>
      <c r="AB31" s="34">
        <v>0.23</v>
      </c>
      <c r="AC31" s="35">
        <f t="shared" si="43"/>
        <v>1149.8399999999999</v>
      </c>
      <c r="AD31" s="37">
        <f t="shared" si="44"/>
        <v>6149.1399999999994</v>
      </c>
    </row>
    <row r="32" spans="2:30" ht="30.75" customHeight="1" x14ac:dyDescent="0.2">
      <c r="B32" s="41" t="s">
        <v>49</v>
      </c>
      <c r="C32" s="13">
        <v>0</v>
      </c>
      <c r="D32" s="13">
        <v>7</v>
      </c>
      <c r="E32" s="51">
        <v>0</v>
      </c>
      <c r="F32" s="31">
        <f t="shared" si="2"/>
        <v>1</v>
      </c>
      <c r="G32" s="30" t="s">
        <v>4</v>
      </c>
      <c r="H32" s="13">
        <v>12</v>
      </c>
      <c r="I32" s="13" t="s">
        <v>40</v>
      </c>
      <c r="J32" s="24">
        <v>0</v>
      </c>
      <c r="K32" s="24">
        <v>228730</v>
      </c>
      <c r="L32" s="24">
        <v>0</v>
      </c>
      <c r="M32" s="24">
        <v>33770</v>
      </c>
      <c r="N32" s="47">
        <f t="shared" si="31"/>
        <v>262500</v>
      </c>
      <c r="O32" s="38">
        <v>23.965</v>
      </c>
      <c r="P32" s="39"/>
      <c r="Q32" s="39">
        <v>24.355</v>
      </c>
      <c r="R32" s="39"/>
      <c r="S32" s="21">
        <v>10.02</v>
      </c>
      <c r="T32" s="21"/>
      <c r="U32" s="46">
        <f t="shared" si="32"/>
        <v>0</v>
      </c>
      <c r="V32" s="49">
        <f>VLOOKUP($B32,'Taryfa PSG'!$B$4:$D$10,2,0)</f>
        <v>3.6890000000000001</v>
      </c>
      <c r="W32" s="27">
        <f t="shared" si="34"/>
        <v>9683.6299999999992</v>
      </c>
      <c r="X32" s="26">
        <f>VLOOKUP($B32,'Taryfa PSG'!$B$4:$D$10,3,0)</f>
        <v>45.19</v>
      </c>
      <c r="Y32" s="15">
        <f t="shared" si="35"/>
        <v>3795.96</v>
      </c>
      <c r="Z32" s="72">
        <f t="shared" si="0"/>
        <v>13479.59</v>
      </c>
      <c r="AA32" s="36">
        <f t="shared" si="1"/>
        <v>13479.59</v>
      </c>
      <c r="AB32" s="34">
        <v>0.23</v>
      </c>
      <c r="AC32" s="35">
        <f t="shared" si="6"/>
        <v>3100.31</v>
      </c>
      <c r="AD32" s="37">
        <f t="shared" si="33"/>
        <v>16579.900000000001</v>
      </c>
    </row>
    <row r="33" spans="2:30" ht="30.75" customHeight="1" x14ac:dyDescent="0.2">
      <c r="B33" s="40" t="s">
        <v>19</v>
      </c>
      <c r="C33" s="13">
        <v>14</v>
      </c>
      <c r="D33" s="13">
        <v>0</v>
      </c>
      <c r="E33" s="43">
        <v>1</v>
      </c>
      <c r="F33" s="31">
        <f t="shared" si="2"/>
        <v>0</v>
      </c>
      <c r="G33" s="30" t="s">
        <v>4</v>
      </c>
      <c r="H33" s="13">
        <v>12</v>
      </c>
      <c r="I33" s="13" t="s">
        <v>40</v>
      </c>
      <c r="J33" s="24">
        <v>1763680</v>
      </c>
      <c r="K33" s="24">
        <v>0</v>
      </c>
      <c r="L33" s="24">
        <v>0</v>
      </c>
      <c r="M33" s="24">
        <v>0</v>
      </c>
      <c r="N33" s="47">
        <f t="shared" ref="N33:N37" si="54">+J33+K33+L33+M33</f>
        <v>1763680</v>
      </c>
      <c r="O33" s="38">
        <v>23.965</v>
      </c>
      <c r="P33" s="39"/>
      <c r="Q33" s="39">
        <v>24.355</v>
      </c>
      <c r="R33" s="39"/>
      <c r="S33" s="21">
        <v>16.11</v>
      </c>
      <c r="T33" s="21"/>
      <c r="U33" s="46">
        <f t="shared" ref="U33:U37" si="55">+ROUND((J33*O33/100+K33*P33/100+L33*Q33/100+M33*R33/100+C33*H33*S33+D33*H33*T33),2)</f>
        <v>425372.39</v>
      </c>
      <c r="V33" s="49">
        <f>VLOOKUP($B33,'Taryfa PSG'!$B$4:$D$10,2,0)</f>
        <v>3.6150000000000002</v>
      </c>
      <c r="W33" s="27">
        <f t="shared" si="4"/>
        <v>63757.03</v>
      </c>
      <c r="X33" s="26">
        <f>VLOOKUP($B33,'Taryfa PSG'!$B$4:$D$10,3,0)</f>
        <v>252.42</v>
      </c>
      <c r="Y33" s="15">
        <f t="shared" si="5"/>
        <v>42406.559999999998</v>
      </c>
      <c r="Z33" s="72">
        <f t="shared" si="0"/>
        <v>106163.59</v>
      </c>
      <c r="AA33" s="36">
        <f t="shared" si="1"/>
        <v>531535.98</v>
      </c>
      <c r="AB33" s="34">
        <v>0.23</v>
      </c>
      <c r="AC33" s="35">
        <f t="shared" si="6"/>
        <v>122253.28</v>
      </c>
      <c r="AD33" s="37">
        <f t="shared" ref="AD33" si="56">+AC33+AA33</f>
        <v>653789.26</v>
      </c>
    </row>
    <row r="34" spans="2:30" ht="30.75" customHeight="1" x14ac:dyDescent="0.2">
      <c r="B34" s="40" t="s">
        <v>19</v>
      </c>
      <c r="C34" s="13">
        <v>1</v>
      </c>
      <c r="D34" s="13">
        <v>0</v>
      </c>
      <c r="E34" s="43">
        <v>0.82540000000000002</v>
      </c>
      <c r="F34" s="31">
        <f t="shared" ref="F34" si="57">100%-E34</f>
        <v>0.17459999999999998</v>
      </c>
      <c r="G34" s="30" t="s">
        <v>4</v>
      </c>
      <c r="H34" s="13">
        <v>12</v>
      </c>
      <c r="I34" s="13" t="s">
        <v>40</v>
      </c>
      <c r="J34" s="24">
        <v>90497</v>
      </c>
      <c r="K34" s="24">
        <v>19143</v>
      </c>
      <c r="L34" s="24">
        <v>0</v>
      </c>
      <c r="M34" s="24">
        <v>0</v>
      </c>
      <c r="N34" s="47">
        <f t="shared" ref="N34" si="58">+J34+K34+L34+M34</f>
        <v>109640</v>
      </c>
      <c r="O34" s="38">
        <v>23.965</v>
      </c>
      <c r="P34" s="39"/>
      <c r="Q34" s="39">
        <v>24.355</v>
      </c>
      <c r="R34" s="39"/>
      <c r="S34" s="21">
        <v>16.11</v>
      </c>
      <c r="T34" s="21"/>
      <c r="U34" s="46">
        <f t="shared" ref="U34" si="59">+ROUND((J34*O34/100+K34*P34/100+L34*Q34/100+M34*R34/100+C34*H34*S34+D34*H34*T34),2)</f>
        <v>21880.93</v>
      </c>
      <c r="V34" s="49">
        <f>VLOOKUP($B34,'Taryfa PSG'!$B$4:$D$10,2,0)</f>
        <v>3.6150000000000002</v>
      </c>
      <c r="W34" s="27">
        <f t="shared" ref="W34" si="60">+ROUND(N34*V34/100,2)</f>
        <v>3963.49</v>
      </c>
      <c r="X34" s="26">
        <f>VLOOKUP($B34,'Taryfa PSG'!$B$4:$D$10,3,0)</f>
        <v>252.42</v>
      </c>
      <c r="Y34" s="15">
        <f t="shared" ref="Y34" si="61">+ROUND((C34+D34)*H34*X34,2)</f>
        <v>3029.04</v>
      </c>
      <c r="Z34" s="72">
        <f t="shared" ref="Z34" si="62">+W34+Y34</f>
        <v>6992.53</v>
      </c>
      <c r="AA34" s="36">
        <f t="shared" ref="AA34" si="63">+U34+Z34</f>
        <v>28873.46</v>
      </c>
      <c r="AB34" s="34">
        <v>0.23</v>
      </c>
      <c r="AC34" s="35">
        <f t="shared" ref="AC34" si="64">+ROUND(AA34*AB34,2)</f>
        <v>6640.9</v>
      </c>
      <c r="AD34" s="37">
        <f t="shared" ref="AD34" si="65">+AC34+AA34</f>
        <v>35514.36</v>
      </c>
    </row>
    <row r="35" spans="2:30" ht="30.75" customHeight="1" x14ac:dyDescent="0.2">
      <c r="B35" s="40" t="s">
        <v>19</v>
      </c>
      <c r="C35" s="13">
        <v>1</v>
      </c>
      <c r="D35" s="13">
        <v>0</v>
      </c>
      <c r="E35" s="43">
        <v>0.5</v>
      </c>
      <c r="F35" s="31">
        <f t="shared" si="2"/>
        <v>0.5</v>
      </c>
      <c r="G35" s="30" t="s">
        <v>4</v>
      </c>
      <c r="H35" s="13">
        <v>12</v>
      </c>
      <c r="I35" s="13" t="s">
        <v>40</v>
      </c>
      <c r="J35" s="24">
        <v>45660</v>
      </c>
      <c r="K35" s="24">
        <v>45660</v>
      </c>
      <c r="L35" s="24">
        <v>0</v>
      </c>
      <c r="M35" s="24">
        <v>0</v>
      </c>
      <c r="N35" s="47">
        <f t="shared" si="54"/>
        <v>91320</v>
      </c>
      <c r="O35" s="38">
        <v>23.965</v>
      </c>
      <c r="P35" s="39"/>
      <c r="Q35" s="39">
        <v>24.355</v>
      </c>
      <c r="R35" s="39"/>
      <c r="S35" s="21">
        <v>16.11</v>
      </c>
      <c r="T35" s="21"/>
      <c r="U35" s="46">
        <f t="shared" si="55"/>
        <v>11135.74</v>
      </c>
      <c r="V35" s="49">
        <f>VLOOKUP($B35,'Taryfa PSG'!$B$4:$D$10,2,0)</f>
        <v>3.6150000000000002</v>
      </c>
      <c r="W35" s="27">
        <f t="shared" si="4"/>
        <v>3301.22</v>
      </c>
      <c r="X35" s="26">
        <f>VLOOKUP($B35,'Taryfa PSG'!$B$4:$D$10,3,0)</f>
        <v>252.42</v>
      </c>
      <c r="Y35" s="15">
        <f t="shared" si="5"/>
        <v>3029.04</v>
      </c>
      <c r="Z35" s="72">
        <f t="shared" si="0"/>
        <v>6330.26</v>
      </c>
      <c r="AA35" s="36">
        <f t="shared" si="1"/>
        <v>17466</v>
      </c>
      <c r="AB35" s="34">
        <v>0.23</v>
      </c>
      <c r="AC35" s="35">
        <f t="shared" si="6"/>
        <v>4017.18</v>
      </c>
      <c r="AD35" s="37">
        <f t="shared" ref="AD35:AD37" si="66">+AC35+AA35</f>
        <v>21483.18</v>
      </c>
    </row>
    <row r="36" spans="2:30" ht="30.75" customHeight="1" x14ac:dyDescent="0.2">
      <c r="B36" s="40" t="s">
        <v>19</v>
      </c>
      <c r="C36" s="13">
        <v>0</v>
      </c>
      <c r="D36" s="13">
        <v>4</v>
      </c>
      <c r="E36" s="43">
        <v>0</v>
      </c>
      <c r="F36" s="31">
        <f t="shared" si="2"/>
        <v>1</v>
      </c>
      <c r="G36" s="30" t="s">
        <v>4</v>
      </c>
      <c r="H36" s="13">
        <v>12</v>
      </c>
      <c r="I36" s="13" t="s">
        <v>40</v>
      </c>
      <c r="J36" s="24">
        <v>0</v>
      </c>
      <c r="K36" s="24">
        <v>450700</v>
      </c>
      <c r="L36" s="24">
        <v>0</v>
      </c>
      <c r="M36" s="24">
        <v>0</v>
      </c>
      <c r="N36" s="47">
        <f t="shared" ref="N36" si="67">+J36+K36+L36+M36</f>
        <v>450700</v>
      </c>
      <c r="O36" s="38">
        <v>23.965</v>
      </c>
      <c r="P36" s="39"/>
      <c r="Q36" s="39">
        <v>24.355</v>
      </c>
      <c r="R36" s="39"/>
      <c r="S36" s="21">
        <v>16.11</v>
      </c>
      <c r="T36" s="21"/>
      <c r="U36" s="46">
        <f t="shared" ref="U36" si="68">+ROUND((J36*O36/100+K36*P36/100+L36*Q36/100+M36*R36/100+C36*H36*S36+D36*H36*T36),2)</f>
        <v>0</v>
      </c>
      <c r="V36" s="49">
        <f>VLOOKUP($B36,'Taryfa PSG'!$B$4:$D$10,2,0)</f>
        <v>3.6150000000000002</v>
      </c>
      <c r="W36" s="27">
        <f t="shared" si="4"/>
        <v>16292.81</v>
      </c>
      <c r="X36" s="26">
        <f>VLOOKUP($B36,'Taryfa PSG'!$B$4:$D$10,3,0)</f>
        <v>252.42</v>
      </c>
      <c r="Y36" s="15">
        <f t="shared" si="5"/>
        <v>12116.16</v>
      </c>
      <c r="Z36" s="72">
        <f t="shared" si="0"/>
        <v>28408.97</v>
      </c>
      <c r="AA36" s="36">
        <f t="shared" si="1"/>
        <v>28408.97</v>
      </c>
      <c r="AB36" s="34">
        <v>0.23</v>
      </c>
      <c r="AC36" s="35">
        <f t="shared" si="6"/>
        <v>6534.06</v>
      </c>
      <c r="AD36" s="37">
        <f t="shared" ref="AD36" si="69">+AC36+AA36</f>
        <v>34943.03</v>
      </c>
    </row>
    <row r="37" spans="2:30" ht="30.75" customHeight="1" x14ac:dyDescent="0.2">
      <c r="B37" s="53" t="s">
        <v>18</v>
      </c>
      <c r="C37" s="13">
        <v>23</v>
      </c>
      <c r="D37" s="13">
        <v>0</v>
      </c>
      <c r="E37" s="43">
        <v>1</v>
      </c>
      <c r="F37" s="31">
        <f t="shared" si="2"/>
        <v>0</v>
      </c>
      <c r="G37" s="13">
        <v>4178</v>
      </c>
      <c r="H37" s="13">
        <v>12</v>
      </c>
      <c r="I37" s="13">
        <v>8760</v>
      </c>
      <c r="J37" s="24">
        <v>5147110</v>
      </c>
      <c r="K37" s="24">
        <v>0</v>
      </c>
      <c r="L37" s="24">
        <v>0</v>
      </c>
      <c r="M37" s="24">
        <v>0</v>
      </c>
      <c r="N37" s="47">
        <f t="shared" si="54"/>
        <v>5147110</v>
      </c>
      <c r="O37" s="38">
        <v>23.917999999999999</v>
      </c>
      <c r="P37" s="39"/>
      <c r="Q37" s="39">
        <v>24.308</v>
      </c>
      <c r="R37" s="39"/>
      <c r="S37" s="21">
        <v>123</v>
      </c>
      <c r="T37" s="21"/>
      <c r="U37" s="46">
        <f t="shared" si="55"/>
        <v>1265033.77</v>
      </c>
      <c r="V37" s="49">
        <f>VLOOKUP($B37,'Taryfa PSG'!$B$4:$D$10,2,0)</f>
        <v>3.278</v>
      </c>
      <c r="W37" s="27">
        <f t="shared" si="4"/>
        <v>168722.27</v>
      </c>
      <c r="X37" s="26">
        <f>VLOOKUP($B37,'Taryfa PSG'!$B$4:$D$10,3,0)</f>
        <v>0.65400000000000003</v>
      </c>
      <c r="Y37" s="15">
        <f>+ROUND(G37*I37*X37/100,2)</f>
        <v>239359.29</v>
      </c>
      <c r="Z37" s="72">
        <f t="shared" si="0"/>
        <v>408081.56</v>
      </c>
      <c r="AA37" s="36">
        <f t="shared" si="1"/>
        <v>1673115.33</v>
      </c>
      <c r="AB37" s="34">
        <v>0.23</v>
      </c>
      <c r="AC37" s="35">
        <f t="shared" si="6"/>
        <v>384816.53</v>
      </c>
      <c r="AD37" s="37">
        <f t="shared" si="66"/>
        <v>2057931.86</v>
      </c>
    </row>
    <row r="38" spans="2:30" ht="30.75" customHeight="1" x14ac:dyDescent="0.2">
      <c r="B38" s="53" t="s">
        <v>18</v>
      </c>
      <c r="C38" s="13">
        <v>0</v>
      </c>
      <c r="D38" s="13">
        <v>1</v>
      </c>
      <c r="E38" s="43">
        <v>0.47</v>
      </c>
      <c r="F38" s="31">
        <f t="shared" si="2"/>
        <v>0.53</v>
      </c>
      <c r="G38" s="13">
        <v>165</v>
      </c>
      <c r="H38" s="13">
        <v>12</v>
      </c>
      <c r="I38" s="13">
        <v>8760</v>
      </c>
      <c r="J38" s="24">
        <v>64724</v>
      </c>
      <c r="K38" s="24">
        <v>72986</v>
      </c>
      <c r="L38" s="24">
        <v>0</v>
      </c>
      <c r="M38" s="24">
        <v>0</v>
      </c>
      <c r="N38" s="47">
        <f t="shared" ref="N38" si="70">+J38+K38+L38+M38</f>
        <v>137710</v>
      </c>
      <c r="O38" s="38">
        <v>23.917999999999999</v>
      </c>
      <c r="P38" s="39"/>
      <c r="Q38" s="39">
        <v>24.308</v>
      </c>
      <c r="R38" s="39"/>
      <c r="S38" s="21">
        <v>123</v>
      </c>
      <c r="T38" s="21"/>
      <c r="U38" s="46">
        <f t="shared" ref="U38" si="71">+ROUND((J38*O38/100+K38*P38/100+L38*Q38/100+M38*R38/100+C38*H38*S38+D38*H38*T38),2)</f>
        <v>15480.69</v>
      </c>
      <c r="V38" s="49">
        <f>VLOOKUP($B38,'Taryfa PSG'!$B$4:$D$10,2,0)</f>
        <v>3.278</v>
      </c>
      <c r="W38" s="27">
        <f t="shared" si="4"/>
        <v>4514.13</v>
      </c>
      <c r="X38" s="26">
        <f>VLOOKUP($B38,'Taryfa PSG'!$B$4:$D$10,3,0)</f>
        <v>0.65400000000000003</v>
      </c>
      <c r="Y38" s="15">
        <f t="shared" ref="Y38:Y39" si="72">+ROUND(G38*I38*X38/100,2)</f>
        <v>9452.92</v>
      </c>
      <c r="Z38" s="72">
        <f t="shared" si="0"/>
        <v>13967.05</v>
      </c>
      <c r="AA38" s="36">
        <f t="shared" si="1"/>
        <v>29447.739999999998</v>
      </c>
      <c r="AB38" s="34">
        <v>0.23</v>
      </c>
      <c r="AC38" s="35">
        <f t="shared" si="6"/>
        <v>6772.98</v>
      </c>
      <c r="AD38" s="37">
        <f t="shared" ref="AD38" si="73">+AC38+AA38</f>
        <v>36220.720000000001</v>
      </c>
    </row>
    <row r="39" spans="2:30" ht="30.75" customHeight="1" thickBot="1" x14ac:dyDescent="0.25">
      <c r="B39" s="60" t="s">
        <v>72</v>
      </c>
      <c r="C39" s="14">
        <v>1</v>
      </c>
      <c r="D39" s="14">
        <v>0</v>
      </c>
      <c r="E39" s="44">
        <v>1</v>
      </c>
      <c r="F39" s="65">
        <f t="shared" si="2"/>
        <v>0</v>
      </c>
      <c r="G39" s="14">
        <v>2000</v>
      </c>
      <c r="H39" s="14">
        <v>12</v>
      </c>
      <c r="I39" s="14">
        <v>8760</v>
      </c>
      <c r="J39" s="25">
        <v>6242550</v>
      </c>
      <c r="K39" s="25">
        <v>0</v>
      </c>
      <c r="L39" s="25">
        <v>0</v>
      </c>
      <c r="M39" s="25">
        <v>0</v>
      </c>
      <c r="N39" s="48">
        <f>+J39+K39+L39+M39</f>
        <v>6242550</v>
      </c>
      <c r="O39" s="66">
        <v>23.917999999999999</v>
      </c>
      <c r="P39" s="177"/>
      <c r="Q39" s="177">
        <v>24.308</v>
      </c>
      <c r="R39" s="177"/>
      <c r="S39" s="67">
        <v>123</v>
      </c>
      <c r="T39" s="67"/>
      <c r="U39" s="45">
        <f>+ROUND((J39*O39/100+K39*P39/100+L39*Q39/100+M39*R39/100+C39*H39*S39+D39*H39*T39),2)</f>
        <v>1494569.11</v>
      </c>
      <c r="V39" s="50">
        <f>VLOOKUP($B39,'Taryfa PSG'!$B$4:$D$10,2,0)</f>
        <v>3.0880000000000001</v>
      </c>
      <c r="W39" s="29">
        <f t="shared" si="4"/>
        <v>192769.94</v>
      </c>
      <c r="X39" s="28">
        <f>VLOOKUP($B39,'Taryfa PSG'!$B$4:$D$10,3,0)</f>
        <v>0.60099999999999998</v>
      </c>
      <c r="Y39" s="16">
        <f t="shared" si="72"/>
        <v>105295.2</v>
      </c>
      <c r="Z39" s="73">
        <f t="shared" si="0"/>
        <v>298065.14</v>
      </c>
      <c r="AA39" s="56">
        <f t="shared" si="1"/>
        <v>1792634.25</v>
      </c>
      <c r="AB39" s="57">
        <v>0.23</v>
      </c>
      <c r="AC39" s="58">
        <f t="shared" si="6"/>
        <v>412305.88</v>
      </c>
      <c r="AD39" s="59">
        <f t="shared" ref="AD39" si="74">+AC39+AA39</f>
        <v>2204940.13</v>
      </c>
    </row>
    <row r="40" spans="2:30" ht="39" customHeight="1" thickBot="1" x14ac:dyDescent="0.25"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9"/>
      <c r="W40" s="10"/>
      <c r="X40" s="11"/>
      <c r="Y40" s="12"/>
      <c r="Z40" s="12"/>
      <c r="AA40" s="68">
        <f>SUM(AA9:AA39)</f>
        <v>4887215.7300000004</v>
      </c>
      <c r="AB40" s="69">
        <v>0.23</v>
      </c>
      <c r="AC40" s="70">
        <f>SUM(AC9:AC39)</f>
        <v>1124059.6299999999</v>
      </c>
      <c r="AD40" s="71">
        <f>SUM(AD9:AD39)</f>
        <v>6011275.3600000003</v>
      </c>
    </row>
    <row r="41" spans="2:30" ht="39" customHeight="1" thickBot="1" x14ac:dyDescent="0.25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9"/>
      <c r="W41" s="10"/>
      <c r="X41" s="11"/>
      <c r="Y41" s="12"/>
      <c r="Z41" s="78"/>
      <c r="AA41" s="54"/>
      <c r="AB41" s="55"/>
      <c r="AC41" s="54"/>
      <c r="AD41" s="78"/>
    </row>
    <row r="42" spans="2:30" ht="57.75" customHeight="1" thickBot="1" x14ac:dyDescent="0.25">
      <c r="B42" s="115" t="s">
        <v>74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7"/>
    </row>
    <row r="43" spans="2:30" ht="38.25" customHeight="1" thickBot="1" x14ac:dyDescent="0.25">
      <c r="B43" s="118" t="s">
        <v>21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20"/>
      <c r="O43" s="121" t="s">
        <v>5</v>
      </c>
      <c r="P43" s="122"/>
      <c r="Q43" s="122"/>
      <c r="R43" s="122"/>
      <c r="S43" s="122"/>
      <c r="T43" s="122"/>
      <c r="U43" s="123"/>
      <c r="V43" s="124" t="s">
        <v>29</v>
      </c>
      <c r="W43" s="125"/>
      <c r="X43" s="125"/>
      <c r="Y43" s="125"/>
      <c r="Z43" s="126"/>
      <c r="AA43" s="127" t="s">
        <v>34</v>
      </c>
      <c r="AB43" s="128"/>
      <c r="AC43" s="128"/>
      <c r="AD43" s="129"/>
    </row>
    <row r="44" spans="2:30" ht="102" customHeight="1" x14ac:dyDescent="0.2">
      <c r="B44" s="130" t="s">
        <v>45</v>
      </c>
      <c r="C44" s="132" t="s">
        <v>1</v>
      </c>
      <c r="D44" s="133"/>
      <c r="E44" s="133"/>
      <c r="F44" s="134"/>
      <c r="G44" s="135" t="s">
        <v>3</v>
      </c>
      <c r="H44" s="135" t="s">
        <v>0</v>
      </c>
      <c r="I44" s="135" t="s">
        <v>6</v>
      </c>
      <c r="J44" s="108" t="s">
        <v>22</v>
      </c>
      <c r="K44" s="107"/>
      <c r="L44" s="108" t="s">
        <v>23</v>
      </c>
      <c r="M44" s="107"/>
      <c r="N44" s="137" t="s">
        <v>58</v>
      </c>
      <c r="O44" s="106" t="s">
        <v>41</v>
      </c>
      <c r="P44" s="107"/>
      <c r="Q44" s="108" t="s">
        <v>42</v>
      </c>
      <c r="R44" s="107"/>
      <c r="S44" s="108" t="s">
        <v>50</v>
      </c>
      <c r="T44" s="107"/>
      <c r="U44" s="137" t="s">
        <v>57</v>
      </c>
      <c r="V44" s="130" t="s">
        <v>2</v>
      </c>
      <c r="W44" s="135" t="s">
        <v>62</v>
      </c>
      <c r="X44" s="135" t="s">
        <v>64</v>
      </c>
      <c r="Y44" s="135" t="s">
        <v>65</v>
      </c>
      <c r="Z44" s="137" t="s">
        <v>66</v>
      </c>
      <c r="AA44" s="139" t="s">
        <v>67</v>
      </c>
      <c r="AB44" s="111" t="s">
        <v>43</v>
      </c>
      <c r="AC44" s="111" t="s">
        <v>68</v>
      </c>
      <c r="AD44" s="113" t="s">
        <v>69</v>
      </c>
    </row>
    <row r="45" spans="2:30" ht="106.5" customHeight="1" thickBot="1" x14ac:dyDescent="0.25">
      <c r="B45" s="131"/>
      <c r="C45" s="22" t="s">
        <v>44</v>
      </c>
      <c r="D45" s="23" t="s">
        <v>20</v>
      </c>
      <c r="E45" s="22" t="s">
        <v>55</v>
      </c>
      <c r="F45" s="23" t="s">
        <v>56</v>
      </c>
      <c r="G45" s="136"/>
      <c r="H45" s="136"/>
      <c r="I45" s="136"/>
      <c r="J45" s="22" t="s">
        <v>44</v>
      </c>
      <c r="K45" s="22" t="s">
        <v>20</v>
      </c>
      <c r="L45" s="22" t="s">
        <v>44</v>
      </c>
      <c r="M45" s="22" t="s">
        <v>20</v>
      </c>
      <c r="N45" s="138"/>
      <c r="O45" s="33" t="s">
        <v>44</v>
      </c>
      <c r="P45" s="23" t="s">
        <v>20</v>
      </c>
      <c r="Q45" s="22" t="s">
        <v>44</v>
      </c>
      <c r="R45" s="22" t="s">
        <v>20</v>
      </c>
      <c r="S45" s="22" t="s">
        <v>44</v>
      </c>
      <c r="T45" s="23" t="s">
        <v>20</v>
      </c>
      <c r="U45" s="138"/>
      <c r="V45" s="131"/>
      <c r="W45" s="136"/>
      <c r="X45" s="136"/>
      <c r="Y45" s="136"/>
      <c r="Z45" s="138"/>
      <c r="AA45" s="140"/>
      <c r="AB45" s="112"/>
      <c r="AC45" s="112"/>
      <c r="AD45" s="114"/>
    </row>
    <row r="46" spans="2:30" ht="19.5" customHeight="1" thickBot="1" x14ac:dyDescent="0.25">
      <c r="B46" s="81" t="s">
        <v>7</v>
      </c>
      <c r="C46" s="82" t="s">
        <v>8</v>
      </c>
      <c r="D46" s="82" t="s">
        <v>9</v>
      </c>
      <c r="E46" s="82" t="s">
        <v>10</v>
      </c>
      <c r="F46" s="82" t="s">
        <v>11</v>
      </c>
      <c r="G46" s="82" t="s">
        <v>12</v>
      </c>
      <c r="H46" s="82" t="s">
        <v>13</v>
      </c>
      <c r="I46" s="82" t="s">
        <v>14</v>
      </c>
      <c r="J46" s="82" t="s">
        <v>15</v>
      </c>
      <c r="K46" s="82" t="s">
        <v>16</v>
      </c>
      <c r="L46" s="82" t="s">
        <v>17</v>
      </c>
      <c r="M46" s="82" t="s">
        <v>24</v>
      </c>
      <c r="N46" s="83" t="s">
        <v>25</v>
      </c>
      <c r="O46" s="81" t="s">
        <v>26</v>
      </c>
      <c r="P46" s="82" t="s">
        <v>27</v>
      </c>
      <c r="Q46" s="82" t="s">
        <v>28</v>
      </c>
      <c r="R46" s="82" t="s">
        <v>30</v>
      </c>
      <c r="S46" s="82" t="s">
        <v>31</v>
      </c>
      <c r="T46" s="82" t="s">
        <v>32</v>
      </c>
      <c r="U46" s="83" t="s">
        <v>33</v>
      </c>
      <c r="V46" s="190" t="s">
        <v>35</v>
      </c>
      <c r="W46" s="191" t="s">
        <v>36</v>
      </c>
      <c r="X46" s="191" t="s">
        <v>37</v>
      </c>
      <c r="Y46" s="191" t="s">
        <v>38</v>
      </c>
      <c r="Z46" s="192" t="s">
        <v>39</v>
      </c>
      <c r="AA46" s="190" t="s">
        <v>51</v>
      </c>
      <c r="AB46" s="191" t="s">
        <v>52</v>
      </c>
      <c r="AC46" s="191" t="s">
        <v>53</v>
      </c>
      <c r="AD46" s="193" t="s">
        <v>54</v>
      </c>
    </row>
    <row r="47" spans="2:30" ht="30.75" customHeight="1" x14ac:dyDescent="0.2">
      <c r="B47" s="84" t="s">
        <v>47</v>
      </c>
      <c r="C47" s="85">
        <v>21</v>
      </c>
      <c r="D47" s="85">
        <v>0</v>
      </c>
      <c r="E47" s="86">
        <v>1</v>
      </c>
      <c r="F47" s="86">
        <f>100%-E47</f>
        <v>0</v>
      </c>
      <c r="G47" s="32" t="s">
        <v>4</v>
      </c>
      <c r="H47" s="85">
        <v>12</v>
      </c>
      <c r="I47" s="85" t="s">
        <v>40</v>
      </c>
      <c r="J47" s="87">
        <v>21000</v>
      </c>
      <c r="K47" s="87">
        <v>0</v>
      </c>
      <c r="L47" s="87">
        <v>6000</v>
      </c>
      <c r="M47" s="87">
        <v>0</v>
      </c>
      <c r="N47" s="88">
        <f>+J47+K47+L47+M47</f>
        <v>27000</v>
      </c>
      <c r="O47" s="178">
        <v>23.965</v>
      </c>
      <c r="P47" s="179"/>
      <c r="Q47" s="179">
        <v>24.355</v>
      </c>
      <c r="R47" s="179"/>
      <c r="S47" s="180">
        <v>6.49</v>
      </c>
      <c r="T47" s="180"/>
      <c r="U47" s="89">
        <f>+ROUND((J47*O47/100+K47*P47/100+L47*Q47/100+M47*R47/100+C47*H47*S47+D47*H47*T47),2)</f>
        <v>8129.43</v>
      </c>
      <c r="V47" s="181">
        <f>VLOOKUP($B47,'Taryfa PSG'!$B$4:$D$10,2,0)</f>
        <v>6.7640000000000002</v>
      </c>
      <c r="W47" s="182">
        <f>+ROUND(N47*V47/100,2)</f>
        <v>1826.28</v>
      </c>
      <c r="X47" s="183">
        <f>VLOOKUP($B47,'Taryfa PSG'!$B$4:$D$10,3,0)</f>
        <v>4.5999999999999996</v>
      </c>
      <c r="Y47" s="184">
        <f>+ROUND((C47+D47)*H47*X47,2)</f>
        <v>1159.2</v>
      </c>
      <c r="Z47" s="185">
        <f t="shared" ref="Z47:Z77" si="75">+W47+Y47</f>
        <v>2985.48</v>
      </c>
      <c r="AA47" s="186">
        <f t="shared" ref="AA47:AA77" si="76">+U47+Z47</f>
        <v>11114.91</v>
      </c>
      <c r="AB47" s="187">
        <v>0.23</v>
      </c>
      <c r="AC47" s="188">
        <f>+ROUND(AA47*AB47,2)</f>
        <v>2556.4299999999998</v>
      </c>
      <c r="AD47" s="189">
        <f>+AC47+AA47</f>
        <v>13671.34</v>
      </c>
    </row>
    <row r="48" spans="2:30" ht="30.75" customHeight="1" x14ac:dyDescent="0.2">
      <c r="B48" s="52" t="s">
        <v>47</v>
      </c>
      <c r="C48" s="13">
        <v>0</v>
      </c>
      <c r="D48" s="13">
        <v>4</v>
      </c>
      <c r="E48" s="31">
        <v>0</v>
      </c>
      <c r="F48" s="31">
        <f t="shared" ref="F48:F77" si="77">100%-E48</f>
        <v>1</v>
      </c>
      <c r="G48" s="30" t="s">
        <v>4</v>
      </c>
      <c r="H48" s="13">
        <v>12</v>
      </c>
      <c r="I48" s="13" t="s">
        <v>40</v>
      </c>
      <c r="J48" s="24">
        <v>0</v>
      </c>
      <c r="K48" s="24">
        <v>6480</v>
      </c>
      <c r="L48" s="24">
        <v>0</v>
      </c>
      <c r="M48" s="24">
        <v>0</v>
      </c>
      <c r="N48" s="47">
        <f>+J48+K48+L48+M48</f>
        <v>6480</v>
      </c>
      <c r="O48" s="38">
        <v>23.965</v>
      </c>
      <c r="P48" s="39"/>
      <c r="Q48" s="39">
        <v>24.355</v>
      </c>
      <c r="R48" s="39"/>
      <c r="S48" s="21">
        <v>6.49</v>
      </c>
      <c r="T48" s="21"/>
      <c r="U48" s="46">
        <f t="shared" ref="U48:U76" si="78">+ROUND((J48*O48/100+K48*P48/100+L48*Q48/100+M48*R48/100+C48*H48*S48+D48*H48*T48),2)</f>
        <v>0</v>
      </c>
      <c r="V48" s="49">
        <f>VLOOKUP($B48,'Taryfa PSG'!$B$4:$D$10,2,0)</f>
        <v>6.7640000000000002</v>
      </c>
      <c r="W48" s="27">
        <f t="shared" ref="W48:W77" si="79">+ROUND(N48*V48/100,2)</f>
        <v>438.31</v>
      </c>
      <c r="X48" s="26">
        <f>VLOOKUP($B48,'Taryfa PSG'!$B$4:$D$10,3,0)</f>
        <v>4.5999999999999996</v>
      </c>
      <c r="Y48" s="15">
        <f t="shared" ref="Y48:Y74" si="80">+ROUND((C48+D48)*H48*X48,2)</f>
        <v>220.8</v>
      </c>
      <c r="Z48" s="72">
        <f t="shared" si="75"/>
        <v>659.11</v>
      </c>
      <c r="AA48" s="36">
        <f t="shared" si="76"/>
        <v>659.11</v>
      </c>
      <c r="AB48" s="34">
        <v>0.23</v>
      </c>
      <c r="AC48" s="35">
        <f t="shared" ref="AC48:AC77" si="81">+ROUND(AA48*AB48,2)</f>
        <v>151.6</v>
      </c>
      <c r="AD48" s="37">
        <f t="shared" ref="AD48:AD77" si="82">+AC48+AA48</f>
        <v>810.71</v>
      </c>
    </row>
    <row r="49" spans="2:30" ht="30.75" customHeight="1" x14ac:dyDescent="0.2">
      <c r="B49" s="77" t="s">
        <v>79</v>
      </c>
      <c r="C49" s="13">
        <v>1</v>
      </c>
      <c r="D49" s="13">
        <v>0</v>
      </c>
      <c r="E49" s="31">
        <v>1</v>
      </c>
      <c r="F49" s="31">
        <f t="shared" si="77"/>
        <v>0</v>
      </c>
      <c r="G49" s="30" t="s">
        <v>4</v>
      </c>
      <c r="H49" s="13">
        <v>12</v>
      </c>
      <c r="I49" s="13" t="s">
        <v>40</v>
      </c>
      <c r="J49" s="24">
        <v>240</v>
      </c>
      <c r="K49" s="24">
        <v>0</v>
      </c>
      <c r="L49" s="24">
        <v>0</v>
      </c>
      <c r="M49" s="24">
        <v>0</v>
      </c>
      <c r="N49" s="47">
        <f>+J49+K49+L49+M49</f>
        <v>240</v>
      </c>
      <c r="O49" s="38">
        <v>23.965</v>
      </c>
      <c r="P49" s="39"/>
      <c r="Q49" s="39">
        <v>24.355</v>
      </c>
      <c r="R49" s="39"/>
      <c r="S49" s="21">
        <v>6.49</v>
      </c>
      <c r="T49" s="21"/>
      <c r="U49" s="46">
        <f t="shared" si="78"/>
        <v>135.4</v>
      </c>
      <c r="V49" s="49">
        <f>VLOOKUP($B49,'Taryfa PSG'!$B$4:$D$10,2,0)</f>
        <v>6.7640000000000002</v>
      </c>
      <c r="W49" s="27">
        <f t="shared" si="79"/>
        <v>16.23</v>
      </c>
      <c r="X49" s="26">
        <f>VLOOKUP($B49,'Taryfa PSG'!$B$4:$D$10,3,0)</f>
        <v>5.75</v>
      </c>
      <c r="Y49" s="15">
        <f t="shared" si="80"/>
        <v>69</v>
      </c>
      <c r="Z49" s="72">
        <f t="shared" si="75"/>
        <v>85.23</v>
      </c>
      <c r="AA49" s="36">
        <f t="shared" si="76"/>
        <v>220.63</v>
      </c>
      <c r="AB49" s="34">
        <v>0.23</v>
      </c>
      <c r="AC49" s="35">
        <f t="shared" si="81"/>
        <v>50.74</v>
      </c>
      <c r="AD49" s="37">
        <f t="shared" si="82"/>
        <v>271.37</v>
      </c>
    </row>
    <row r="50" spans="2:30" ht="30.75" customHeight="1" x14ac:dyDescent="0.2">
      <c r="B50" s="42" t="s">
        <v>48</v>
      </c>
      <c r="C50" s="13">
        <v>36</v>
      </c>
      <c r="D50" s="13">
        <v>0</v>
      </c>
      <c r="E50" s="31">
        <v>1</v>
      </c>
      <c r="F50" s="31">
        <f t="shared" si="77"/>
        <v>0</v>
      </c>
      <c r="G50" s="30" t="s">
        <v>4</v>
      </c>
      <c r="H50" s="13">
        <v>12</v>
      </c>
      <c r="I50" s="13" t="s">
        <v>40</v>
      </c>
      <c r="J50" s="24">
        <v>249970</v>
      </c>
      <c r="K50" s="24">
        <v>0</v>
      </c>
      <c r="L50" s="24">
        <v>62540</v>
      </c>
      <c r="M50" s="24">
        <v>0</v>
      </c>
      <c r="N50" s="47">
        <f t="shared" ref="N50:N76" si="83">+J50+K50+L50+M50</f>
        <v>312510</v>
      </c>
      <c r="O50" s="38">
        <v>23.965</v>
      </c>
      <c r="P50" s="39"/>
      <c r="Q50" s="39">
        <v>24.355</v>
      </c>
      <c r="R50" s="39"/>
      <c r="S50" s="21">
        <v>8.81</v>
      </c>
      <c r="T50" s="21"/>
      <c r="U50" s="46">
        <f t="shared" si="78"/>
        <v>78942.850000000006</v>
      </c>
      <c r="V50" s="49">
        <f>VLOOKUP($B50,'Taryfa PSG'!$B$4:$D$10,2,0)</f>
        <v>4.92</v>
      </c>
      <c r="W50" s="27">
        <f t="shared" si="79"/>
        <v>15375.49</v>
      </c>
      <c r="X50" s="26">
        <f>VLOOKUP($B50,'Taryfa PSG'!$B$4:$D$10,3,0)</f>
        <v>11.7</v>
      </c>
      <c r="Y50" s="15">
        <f t="shared" si="80"/>
        <v>5054.3999999999996</v>
      </c>
      <c r="Z50" s="72">
        <f t="shared" si="75"/>
        <v>20429.89</v>
      </c>
      <c r="AA50" s="36">
        <f t="shared" si="76"/>
        <v>99372.74</v>
      </c>
      <c r="AB50" s="34">
        <v>0.23</v>
      </c>
      <c r="AC50" s="35">
        <f t="shared" si="81"/>
        <v>22855.73</v>
      </c>
      <c r="AD50" s="37">
        <f t="shared" si="82"/>
        <v>122228.47</v>
      </c>
    </row>
    <row r="51" spans="2:30" ht="30.75" customHeight="1" x14ac:dyDescent="0.2">
      <c r="B51" s="42" t="s">
        <v>48</v>
      </c>
      <c r="C51" s="13">
        <v>1</v>
      </c>
      <c r="D51" s="13">
        <v>0</v>
      </c>
      <c r="E51" s="31">
        <v>0.98</v>
      </c>
      <c r="F51" s="31">
        <f t="shared" si="77"/>
        <v>2.0000000000000018E-2</v>
      </c>
      <c r="G51" s="30" t="s">
        <v>4</v>
      </c>
      <c r="H51" s="13">
        <v>12</v>
      </c>
      <c r="I51" s="13" t="s">
        <v>40</v>
      </c>
      <c r="J51" s="24">
        <v>8702</v>
      </c>
      <c r="K51" s="24">
        <v>178</v>
      </c>
      <c r="L51" s="24">
        <v>0</v>
      </c>
      <c r="M51" s="24">
        <v>0</v>
      </c>
      <c r="N51" s="47">
        <f t="shared" si="83"/>
        <v>8880</v>
      </c>
      <c r="O51" s="38">
        <v>23.965</v>
      </c>
      <c r="P51" s="39"/>
      <c r="Q51" s="39">
        <v>24.355</v>
      </c>
      <c r="R51" s="39"/>
      <c r="S51" s="21">
        <v>8.81</v>
      </c>
      <c r="T51" s="21"/>
      <c r="U51" s="46">
        <f t="shared" si="78"/>
        <v>2191.15</v>
      </c>
      <c r="V51" s="49">
        <f>VLOOKUP($B51,'Taryfa PSG'!$B$4:$D$10,2,0)</f>
        <v>4.92</v>
      </c>
      <c r="W51" s="27">
        <f t="shared" si="79"/>
        <v>436.9</v>
      </c>
      <c r="X51" s="26">
        <f>VLOOKUP($B51,'Taryfa PSG'!$B$4:$D$10,3,0)</f>
        <v>11.7</v>
      </c>
      <c r="Y51" s="15">
        <f t="shared" si="80"/>
        <v>140.4</v>
      </c>
      <c r="Z51" s="72">
        <f t="shared" si="75"/>
        <v>577.29999999999995</v>
      </c>
      <c r="AA51" s="36">
        <f t="shared" si="76"/>
        <v>2768.45</v>
      </c>
      <c r="AB51" s="34">
        <v>0.23</v>
      </c>
      <c r="AC51" s="35">
        <f t="shared" si="81"/>
        <v>636.74</v>
      </c>
      <c r="AD51" s="37">
        <f t="shared" si="82"/>
        <v>3405.1899999999996</v>
      </c>
    </row>
    <row r="52" spans="2:30" ht="30.75" customHeight="1" x14ac:dyDescent="0.2">
      <c r="B52" s="42" t="s">
        <v>48</v>
      </c>
      <c r="C52" s="13">
        <v>1</v>
      </c>
      <c r="D52" s="13">
        <v>0</v>
      </c>
      <c r="E52" s="31">
        <v>0.9</v>
      </c>
      <c r="F52" s="31">
        <f t="shared" si="77"/>
        <v>9.9999999999999978E-2</v>
      </c>
      <c r="G52" s="30" t="s">
        <v>4</v>
      </c>
      <c r="H52" s="13">
        <v>12</v>
      </c>
      <c r="I52" s="13" t="s">
        <v>40</v>
      </c>
      <c r="J52" s="24">
        <v>3456</v>
      </c>
      <c r="K52" s="24">
        <v>384</v>
      </c>
      <c r="L52" s="24">
        <v>0</v>
      </c>
      <c r="M52" s="24">
        <v>0</v>
      </c>
      <c r="N52" s="47">
        <f t="shared" si="83"/>
        <v>3840</v>
      </c>
      <c r="O52" s="38">
        <v>23.965</v>
      </c>
      <c r="P52" s="39"/>
      <c r="Q52" s="39">
        <v>24.355</v>
      </c>
      <c r="R52" s="39"/>
      <c r="S52" s="21">
        <v>8.81</v>
      </c>
      <c r="T52" s="21"/>
      <c r="U52" s="46">
        <f t="shared" si="78"/>
        <v>933.95</v>
      </c>
      <c r="V52" s="49">
        <f>VLOOKUP($B52,'Taryfa PSG'!$B$4:$D$10,2,0)</f>
        <v>4.92</v>
      </c>
      <c r="W52" s="27">
        <f t="shared" si="79"/>
        <v>188.93</v>
      </c>
      <c r="X52" s="26">
        <f>VLOOKUP($B52,'Taryfa PSG'!$B$4:$D$10,3,0)</f>
        <v>11.7</v>
      </c>
      <c r="Y52" s="15">
        <f t="shared" si="80"/>
        <v>140.4</v>
      </c>
      <c r="Z52" s="72">
        <f t="shared" si="75"/>
        <v>329.33000000000004</v>
      </c>
      <c r="AA52" s="36">
        <f t="shared" si="76"/>
        <v>1263.2800000000002</v>
      </c>
      <c r="AB52" s="34">
        <v>0.23</v>
      </c>
      <c r="AC52" s="35">
        <f t="shared" si="81"/>
        <v>290.55</v>
      </c>
      <c r="AD52" s="37">
        <f t="shared" si="82"/>
        <v>1553.8300000000002</v>
      </c>
    </row>
    <row r="53" spans="2:30" ht="30.75" customHeight="1" x14ac:dyDescent="0.2">
      <c r="B53" s="42" t="s">
        <v>48</v>
      </c>
      <c r="C53" s="13">
        <v>0</v>
      </c>
      <c r="D53" s="13">
        <v>6</v>
      </c>
      <c r="E53" s="31">
        <v>0</v>
      </c>
      <c r="F53" s="31">
        <f t="shared" si="77"/>
        <v>1</v>
      </c>
      <c r="G53" s="30" t="s">
        <v>4</v>
      </c>
      <c r="H53" s="13">
        <v>12</v>
      </c>
      <c r="I53" s="13" t="s">
        <v>40</v>
      </c>
      <c r="J53" s="24">
        <v>0</v>
      </c>
      <c r="K53" s="24">
        <v>14280</v>
      </c>
      <c r="L53" s="24">
        <v>0</v>
      </c>
      <c r="M53" s="24">
        <v>21360</v>
      </c>
      <c r="N53" s="47">
        <f t="shared" si="83"/>
        <v>35640</v>
      </c>
      <c r="O53" s="38">
        <v>23.965</v>
      </c>
      <c r="P53" s="39"/>
      <c r="Q53" s="39">
        <v>24.355</v>
      </c>
      <c r="R53" s="39"/>
      <c r="S53" s="21">
        <v>8.81</v>
      </c>
      <c r="T53" s="21"/>
      <c r="U53" s="46">
        <f t="shared" si="78"/>
        <v>0</v>
      </c>
      <c r="V53" s="49">
        <f>VLOOKUP($B53,'Taryfa PSG'!$B$4:$D$10,2,0)</f>
        <v>4.92</v>
      </c>
      <c r="W53" s="27">
        <f t="shared" si="79"/>
        <v>1753.49</v>
      </c>
      <c r="X53" s="26">
        <f>VLOOKUP($B53,'Taryfa PSG'!$B$4:$D$10,3,0)</f>
        <v>11.7</v>
      </c>
      <c r="Y53" s="15">
        <f t="shared" si="80"/>
        <v>842.4</v>
      </c>
      <c r="Z53" s="72">
        <f t="shared" si="75"/>
        <v>2595.89</v>
      </c>
      <c r="AA53" s="36">
        <f t="shared" si="76"/>
        <v>2595.89</v>
      </c>
      <c r="AB53" s="34">
        <v>0.23</v>
      </c>
      <c r="AC53" s="35">
        <f t="shared" si="81"/>
        <v>597.04999999999995</v>
      </c>
      <c r="AD53" s="37">
        <f t="shared" si="82"/>
        <v>3192.9399999999996</v>
      </c>
    </row>
    <row r="54" spans="2:30" ht="30.75" customHeight="1" x14ac:dyDescent="0.2">
      <c r="B54" s="41" t="s">
        <v>49</v>
      </c>
      <c r="C54" s="13">
        <v>44</v>
      </c>
      <c r="D54" s="13">
        <v>0</v>
      </c>
      <c r="E54" s="31">
        <v>1</v>
      </c>
      <c r="F54" s="31">
        <f t="shared" si="77"/>
        <v>0</v>
      </c>
      <c r="G54" s="30" t="s">
        <v>4</v>
      </c>
      <c r="H54" s="13">
        <v>12</v>
      </c>
      <c r="I54" s="13" t="s">
        <v>40</v>
      </c>
      <c r="J54" s="24">
        <v>1639050</v>
      </c>
      <c r="K54" s="24">
        <v>0</v>
      </c>
      <c r="L54" s="24">
        <v>252780</v>
      </c>
      <c r="M54" s="24">
        <v>0</v>
      </c>
      <c r="N54" s="47">
        <f t="shared" si="83"/>
        <v>1891830</v>
      </c>
      <c r="O54" s="38">
        <v>23.965</v>
      </c>
      <c r="P54" s="39"/>
      <c r="Q54" s="39">
        <v>24.355</v>
      </c>
      <c r="R54" s="39"/>
      <c r="S54" s="21">
        <v>10.02</v>
      </c>
      <c r="T54" s="21"/>
      <c r="U54" s="46">
        <f t="shared" si="78"/>
        <v>459653.46</v>
      </c>
      <c r="V54" s="49">
        <f>VLOOKUP($B54,'Taryfa PSG'!$B$4:$D$10,2,0)</f>
        <v>3.6890000000000001</v>
      </c>
      <c r="W54" s="27">
        <f t="shared" si="79"/>
        <v>69789.61</v>
      </c>
      <c r="X54" s="26">
        <f>VLOOKUP($B54,'Taryfa PSG'!$B$4:$D$10,3,0)</f>
        <v>45.19</v>
      </c>
      <c r="Y54" s="15">
        <f t="shared" si="80"/>
        <v>23860.32</v>
      </c>
      <c r="Z54" s="72">
        <f t="shared" si="75"/>
        <v>93649.93</v>
      </c>
      <c r="AA54" s="36">
        <f t="shared" si="76"/>
        <v>553303.39</v>
      </c>
      <c r="AB54" s="34">
        <v>0.23</v>
      </c>
      <c r="AC54" s="35">
        <f t="shared" si="81"/>
        <v>127259.78</v>
      </c>
      <c r="AD54" s="37">
        <f t="shared" si="82"/>
        <v>680563.17</v>
      </c>
    </row>
    <row r="55" spans="2:30" ht="30.75" customHeight="1" x14ac:dyDescent="0.2">
      <c r="B55" s="41" t="s">
        <v>49</v>
      </c>
      <c r="C55" s="13">
        <v>1</v>
      </c>
      <c r="D55" s="13">
        <v>0</v>
      </c>
      <c r="E55" s="31">
        <v>0.99970000000000003</v>
      </c>
      <c r="F55" s="31">
        <f t="shared" si="77"/>
        <v>2.9999999999996696E-4</v>
      </c>
      <c r="G55" s="30" t="s">
        <v>4</v>
      </c>
      <c r="H55" s="13">
        <v>12</v>
      </c>
      <c r="I55" s="13" t="s">
        <v>40</v>
      </c>
      <c r="J55" s="24">
        <v>39368</v>
      </c>
      <c r="K55" s="24">
        <v>12</v>
      </c>
      <c r="L55" s="24">
        <v>0</v>
      </c>
      <c r="M55" s="24">
        <v>0</v>
      </c>
      <c r="N55" s="47">
        <f t="shared" si="83"/>
        <v>39380</v>
      </c>
      <c r="O55" s="38">
        <v>23.965</v>
      </c>
      <c r="P55" s="39"/>
      <c r="Q55" s="39">
        <v>24.355</v>
      </c>
      <c r="R55" s="39"/>
      <c r="S55" s="21">
        <v>10.02</v>
      </c>
      <c r="T55" s="21"/>
      <c r="U55" s="46">
        <f t="shared" si="78"/>
        <v>9554.7800000000007</v>
      </c>
      <c r="V55" s="49">
        <f>VLOOKUP($B55,'Taryfa PSG'!$B$4:$D$10,2,0)</f>
        <v>3.6890000000000001</v>
      </c>
      <c r="W55" s="27">
        <f t="shared" si="79"/>
        <v>1452.73</v>
      </c>
      <c r="X55" s="26">
        <f>VLOOKUP($B55,'Taryfa PSG'!$B$4:$D$10,3,0)</f>
        <v>45.19</v>
      </c>
      <c r="Y55" s="15">
        <f t="shared" si="80"/>
        <v>542.28</v>
      </c>
      <c r="Z55" s="72">
        <f t="shared" si="75"/>
        <v>1995.01</v>
      </c>
      <c r="AA55" s="36">
        <f t="shared" si="76"/>
        <v>11549.79</v>
      </c>
      <c r="AB55" s="34">
        <v>0.23</v>
      </c>
      <c r="AC55" s="35">
        <f t="shared" si="81"/>
        <v>2656.45</v>
      </c>
      <c r="AD55" s="37">
        <f t="shared" si="82"/>
        <v>14206.240000000002</v>
      </c>
    </row>
    <row r="56" spans="2:30" ht="30.75" customHeight="1" x14ac:dyDescent="0.2">
      <c r="B56" s="41" t="s">
        <v>49</v>
      </c>
      <c r="C56" s="13">
        <v>1</v>
      </c>
      <c r="D56" s="13">
        <v>0</v>
      </c>
      <c r="E56" s="51">
        <v>0.97</v>
      </c>
      <c r="F56" s="31">
        <f t="shared" si="77"/>
        <v>3.0000000000000027E-2</v>
      </c>
      <c r="G56" s="30" t="s">
        <v>4</v>
      </c>
      <c r="H56" s="13">
        <v>12</v>
      </c>
      <c r="I56" s="13" t="s">
        <v>40</v>
      </c>
      <c r="J56" s="24">
        <v>15006</v>
      </c>
      <c r="K56" s="24">
        <v>464</v>
      </c>
      <c r="L56" s="24">
        <v>0</v>
      </c>
      <c r="M56" s="24">
        <v>0</v>
      </c>
      <c r="N56" s="47">
        <f t="shared" si="83"/>
        <v>15470</v>
      </c>
      <c r="O56" s="38">
        <v>23.965</v>
      </c>
      <c r="P56" s="39"/>
      <c r="Q56" s="39">
        <v>24.355</v>
      </c>
      <c r="R56" s="39"/>
      <c r="S56" s="21">
        <v>10.02</v>
      </c>
      <c r="T56" s="21"/>
      <c r="U56" s="46">
        <f t="shared" si="78"/>
        <v>3716.43</v>
      </c>
      <c r="V56" s="49">
        <f>VLOOKUP($B56,'Taryfa PSG'!$B$4:$D$10,2,0)</f>
        <v>3.6890000000000001</v>
      </c>
      <c r="W56" s="27">
        <f t="shared" si="79"/>
        <v>570.69000000000005</v>
      </c>
      <c r="X56" s="26">
        <f>VLOOKUP($B56,'Taryfa PSG'!$B$4:$D$10,3,0)</f>
        <v>45.19</v>
      </c>
      <c r="Y56" s="15">
        <f t="shared" si="80"/>
        <v>542.28</v>
      </c>
      <c r="Z56" s="72">
        <f t="shared" si="75"/>
        <v>1112.97</v>
      </c>
      <c r="AA56" s="36">
        <f t="shared" si="76"/>
        <v>4829.3999999999996</v>
      </c>
      <c r="AB56" s="34">
        <v>0.23</v>
      </c>
      <c r="AC56" s="35">
        <f t="shared" si="81"/>
        <v>1110.76</v>
      </c>
      <c r="AD56" s="37">
        <f t="shared" si="82"/>
        <v>5940.16</v>
      </c>
    </row>
    <row r="57" spans="2:30" ht="30.75" customHeight="1" x14ac:dyDescent="0.2">
      <c r="B57" s="41" t="s">
        <v>49</v>
      </c>
      <c r="C57" s="13">
        <v>1</v>
      </c>
      <c r="D57" s="13">
        <v>0</v>
      </c>
      <c r="E57" s="51">
        <v>0.95</v>
      </c>
      <c r="F57" s="31">
        <f t="shared" si="77"/>
        <v>5.0000000000000044E-2</v>
      </c>
      <c r="G57" s="30" t="s">
        <v>4</v>
      </c>
      <c r="H57" s="13">
        <v>12</v>
      </c>
      <c r="I57" s="13" t="s">
        <v>40</v>
      </c>
      <c r="J57" s="24">
        <v>17110</v>
      </c>
      <c r="K57" s="24">
        <v>900</v>
      </c>
      <c r="L57" s="24">
        <v>0</v>
      </c>
      <c r="M57" s="24">
        <v>0</v>
      </c>
      <c r="N57" s="47">
        <f t="shared" si="83"/>
        <v>18010</v>
      </c>
      <c r="O57" s="38">
        <v>23.965</v>
      </c>
      <c r="P57" s="39"/>
      <c r="Q57" s="39">
        <v>24.355</v>
      </c>
      <c r="R57" s="39"/>
      <c r="S57" s="21">
        <v>10.02</v>
      </c>
      <c r="T57" s="21"/>
      <c r="U57" s="46">
        <f t="shared" si="78"/>
        <v>4220.6499999999996</v>
      </c>
      <c r="V57" s="49">
        <f>VLOOKUP($B57,'Taryfa PSG'!$B$4:$D$10,2,0)</f>
        <v>3.6890000000000001</v>
      </c>
      <c r="W57" s="27">
        <f t="shared" si="79"/>
        <v>664.39</v>
      </c>
      <c r="X57" s="26">
        <f>VLOOKUP($B57,'Taryfa PSG'!$B$4:$D$10,3,0)</f>
        <v>45.19</v>
      </c>
      <c r="Y57" s="15">
        <f t="shared" si="80"/>
        <v>542.28</v>
      </c>
      <c r="Z57" s="72">
        <f t="shared" si="75"/>
        <v>1206.67</v>
      </c>
      <c r="AA57" s="36">
        <f t="shared" si="76"/>
        <v>5427.32</v>
      </c>
      <c r="AB57" s="34">
        <v>0.23</v>
      </c>
      <c r="AC57" s="35">
        <f t="shared" si="81"/>
        <v>1248.28</v>
      </c>
      <c r="AD57" s="37">
        <f t="shared" si="82"/>
        <v>6675.5999999999995</v>
      </c>
    </row>
    <row r="58" spans="2:30" ht="30.75" customHeight="1" x14ac:dyDescent="0.2">
      <c r="B58" s="41" t="s">
        <v>49</v>
      </c>
      <c r="C58" s="13">
        <v>1</v>
      </c>
      <c r="D58" s="13">
        <v>0</v>
      </c>
      <c r="E58" s="51">
        <v>0.85</v>
      </c>
      <c r="F58" s="31">
        <f t="shared" si="77"/>
        <v>0.15000000000000002</v>
      </c>
      <c r="G58" s="30" t="s">
        <v>4</v>
      </c>
      <c r="H58" s="13">
        <v>12</v>
      </c>
      <c r="I58" s="13" t="s">
        <v>40</v>
      </c>
      <c r="J58" s="24">
        <v>16584</v>
      </c>
      <c r="K58" s="24">
        <v>2926</v>
      </c>
      <c r="L58" s="24">
        <v>0</v>
      </c>
      <c r="M58" s="24">
        <v>0</v>
      </c>
      <c r="N58" s="47">
        <f t="shared" si="83"/>
        <v>19510</v>
      </c>
      <c r="O58" s="38">
        <v>23.965</v>
      </c>
      <c r="P58" s="39"/>
      <c r="Q58" s="39">
        <v>24.355</v>
      </c>
      <c r="R58" s="39"/>
      <c r="S58" s="21">
        <v>10.02</v>
      </c>
      <c r="T58" s="21"/>
      <c r="U58" s="46">
        <f t="shared" si="78"/>
        <v>4094.6</v>
      </c>
      <c r="V58" s="49">
        <f>VLOOKUP($B58,'Taryfa PSG'!$B$4:$D$10,2,0)</f>
        <v>3.6890000000000001</v>
      </c>
      <c r="W58" s="27">
        <f t="shared" si="79"/>
        <v>719.72</v>
      </c>
      <c r="X58" s="26">
        <f>VLOOKUP($B58,'Taryfa PSG'!$B$4:$D$10,3,0)</f>
        <v>45.19</v>
      </c>
      <c r="Y58" s="15">
        <f t="shared" si="80"/>
        <v>542.28</v>
      </c>
      <c r="Z58" s="72">
        <f t="shared" si="75"/>
        <v>1262</v>
      </c>
      <c r="AA58" s="36">
        <f t="shared" si="76"/>
        <v>5356.6</v>
      </c>
      <c r="AB58" s="34">
        <v>0.23</v>
      </c>
      <c r="AC58" s="35">
        <f t="shared" si="81"/>
        <v>1232.02</v>
      </c>
      <c r="AD58" s="37">
        <f t="shared" si="82"/>
        <v>6588.6200000000008</v>
      </c>
    </row>
    <row r="59" spans="2:30" ht="30.75" customHeight="1" x14ac:dyDescent="0.2">
      <c r="B59" s="41" t="s">
        <v>49</v>
      </c>
      <c r="C59" s="13">
        <v>1</v>
      </c>
      <c r="D59" s="13">
        <v>0</v>
      </c>
      <c r="E59" s="51">
        <v>0.62890000000000001</v>
      </c>
      <c r="F59" s="31">
        <f t="shared" si="77"/>
        <v>0.37109999999999999</v>
      </c>
      <c r="G59" s="30" t="s">
        <v>4</v>
      </c>
      <c r="H59" s="13">
        <v>12</v>
      </c>
      <c r="I59" s="13" t="s">
        <v>40</v>
      </c>
      <c r="J59" s="24">
        <v>38438</v>
      </c>
      <c r="K59" s="24">
        <v>22682</v>
      </c>
      <c r="L59" s="24">
        <v>0</v>
      </c>
      <c r="M59" s="24">
        <v>0</v>
      </c>
      <c r="N59" s="47">
        <f t="shared" si="83"/>
        <v>61120</v>
      </c>
      <c r="O59" s="38">
        <v>23.965</v>
      </c>
      <c r="P59" s="39"/>
      <c r="Q59" s="39">
        <v>24.355</v>
      </c>
      <c r="R59" s="39"/>
      <c r="S59" s="21">
        <v>10.02</v>
      </c>
      <c r="T59" s="21"/>
      <c r="U59" s="46">
        <f t="shared" si="78"/>
        <v>9331.91</v>
      </c>
      <c r="V59" s="49">
        <f>VLOOKUP($B59,'Taryfa PSG'!$B$4:$D$10,2,0)</f>
        <v>3.6890000000000001</v>
      </c>
      <c r="W59" s="27">
        <f t="shared" si="79"/>
        <v>2254.7199999999998</v>
      </c>
      <c r="X59" s="26">
        <f>VLOOKUP($B59,'Taryfa PSG'!$B$4:$D$10,3,0)</f>
        <v>45.19</v>
      </c>
      <c r="Y59" s="15">
        <f t="shared" si="80"/>
        <v>542.28</v>
      </c>
      <c r="Z59" s="72">
        <f t="shared" si="75"/>
        <v>2797</v>
      </c>
      <c r="AA59" s="36">
        <f t="shared" si="76"/>
        <v>12128.91</v>
      </c>
      <c r="AB59" s="34">
        <v>0.23</v>
      </c>
      <c r="AC59" s="35">
        <f t="shared" si="81"/>
        <v>2789.65</v>
      </c>
      <c r="AD59" s="37">
        <f t="shared" si="82"/>
        <v>14918.56</v>
      </c>
    </row>
    <row r="60" spans="2:30" ht="30.75" customHeight="1" x14ac:dyDescent="0.2">
      <c r="B60" s="41" t="s">
        <v>49</v>
      </c>
      <c r="C60" s="13">
        <v>1</v>
      </c>
      <c r="D60" s="13">
        <v>0</v>
      </c>
      <c r="E60" s="51">
        <v>0.62209999999999999</v>
      </c>
      <c r="F60" s="31">
        <f t="shared" si="77"/>
        <v>0.37790000000000001</v>
      </c>
      <c r="G60" s="30" t="s">
        <v>4</v>
      </c>
      <c r="H60" s="13">
        <v>12</v>
      </c>
      <c r="I60" s="13" t="s">
        <v>40</v>
      </c>
      <c r="J60" s="24">
        <v>46098</v>
      </c>
      <c r="K60" s="24">
        <v>28002</v>
      </c>
      <c r="L60" s="24">
        <v>0</v>
      </c>
      <c r="M60" s="24">
        <v>0</v>
      </c>
      <c r="N60" s="47">
        <f t="shared" si="83"/>
        <v>74100</v>
      </c>
      <c r="O60" s="38">
        <v>23.965</v>
      </c>
      <c r="P60" s="39"/>
      <c r="Q60" s="39">
        <v>24.355</v>
      </c>
      <c r="R60" s="39"/>
      <c r="S60" s="21">
        <v>10.02</v>
      </c>
      <c r="T60" s="21"/>
      <c r="U60" s="46">
        <f t="shared" si="78"/>
        <v>11167.63</v>
      </c>
      <c r="V60" s="49">
        <f>VLOOKUP($B60,'Taryfa PSG'!$B$4:$D$10,2,0)</f>
        <v>3.6890000000000001</v>
      </c>
      <c r="W60" s="27">
        <f t="shared" si="79"/>
        <v>2733.55</v>
      </c>
      <c r="X60" s="26">
        <f>VLOOKUP($B60,'Taryfa PSG'!$B$4:$D$10,3,0)</f>
        <v>45.19</v>
      </c>
      <c r="Y60" s="15">
        <f t="shared" si="80"/>
        <v>542.28</v>
      </c>
      <c r="Z60" s="72">
        <f t="shared" si="75"/>
        <v>3275.83</v>
      </c>
      <c r="AA60" s="36">
        <f t="shared" si="76"/>
        <v>14443.46</v>
      </c>
      <c r="AB60" s="34">
        <v>0.23</v>
      </c>
      <c r="AC60" s="35">
        <f t="shared" si="81"/>
        <v>3322</v>
      </c>
      <c r="AD60" s="37">
        <f t="shared" si="82"/>
        <v>17765.46</v>
      </c>
    </row>
    <row r="61" spans="2:30" ht="30.75" customHeight="1" x14ac:dyDescent="0.2">
      <c r="B61" s="41" t="s">
        <v>49</v>
      </c>
      <c r="C61" s="13">
        <v>1</v>
      </c>
      <c r="D61" s="13">
        <v>0</v>
      </c>
      <c r="E61" s="51">
        <v>0.6</v>
      </c>
      <c r="F61" s="31">
        <f t="shared" si="77"/>
        <v>0.4</v>
      </c>
      <c r="G61" s="30" t="s">
        <v>4</v>
      </c>
      <c r="H61" s="13">
        <v>12</v>
      </c>
      <c r="I61" s="13" t="s">
        <v>40</v>
      </c>
      <c r="J61" s="24">
        <v>0</v>
      </c>
      <c r="K61" s="24">
        <v>0</v>
      </c>
      <c r="L61" s="24">
        <v>9570</v>
      </c>
      <c r="M61" s="24">
        <v>6380</v>
      </c>
      <c r="N61" s="47">
        <f t="shared" si="83"/>
        <v>15950</v>
      </c>
      <c r="O61" s="38">
        <v>23.965</v>
      </c>
      <c r="P61" s="39"/>
      <c r="Q61" s="39">
        <v>24.355</v>
      </c>
      <c r="R61" s="39"/>
      <c r="S61" s="21">
        <v>10.02</v>
      </c>
      <c r="T61" s="21"/>
      <c r="U61" s="46">
        <f t="shared" si="78"/>
        <v>2451.0100000000002</v>
      </c>
      <c r="V61" s="49">
        <f>VLOOKUP($B61,'Taryfa PSG'!$B$4:$D$10,2,0)</f>
        <v>3.6890000000000001</v>
      </c>
      <c r="W61" s="27">
        <f t="shared" si="79"/>
        <v>588.4</v>
      </c>
      <c r="X61" s="26">
        <f>VLOOKUP($B61,'Taryfa PSG'!$B$4:$D$10,3,0)</f>
        <v>45.19</v>
      </c>
      <c r="Y61" s="15">
        <f t="shared" si="80"/>
        <v>542.28</v>
      </c>
      <c r="Z61" s="72">
        <f t="shared" si="75"/>
        <v>1130.6799999999998</v>
      </c>
      <c r="AA61" s="36">
        <f t="shared" si="76"/>
        <v>3581.69</v>
      </c>
      <c r="AB61" s="34">
        <v>0.23</v>
      </c>
      <c r="AC61" s="35">
        <f t="shared" si="81"/>
        <v>823.79</v>
      </c>
      <c r="AD61" s="37">
        <f t="shared" si="82"/>
        <v>4405.4799999999996</v>
      </c>
    </row>
    <row r="62" spans="2:30" ht="30.75" customHeight="1" x14ac:dyDescent="0.2">
      <c r="B62" s="41" t="s">
        <v>49</v>
      </c>
      <c r="C62" s="13">
        <v>1</v>
      </c>
      <c r="D62" s="13">
        <v>0</v>
      </c>
      <c r="E62" s="51">
        <v>0.46350000000000002</v>
      </c>
      <c r="F62" s="31">
        <f t="shared" si="77"/>
        <v>0.53649999999999998</v>
      </c>
      <c r="G62" s="30" t="s">
        <v>4</v>
      </c>
      <c r="H62" s="13">
        <v>12</v>
      </c>
      <c r="I62" s="13" t="s">
        <v>40</v>
      </c>
      <c r="J62" s="24">
        <v>19004</v>
      </c>
      <c r="K62" s="24">
        <v>21996</v>
      </c>
      <c r="L62" s="24">
        <v>0</v>
      </c>
      <c r="M62" s="24">
        <v>0</v>
      </c>
      <c r="N62" s="47">
        <f t="shared" si="83"/>
        <v>41000</v>
      </c>
      <c r="O62" s="38">
        <v>23.965</v>
      </c>
      <c r="P62" s="39"/>
      <c r="Q62" s="39">
        <v>24.355</v>
      </c>
      <c r="R62" s="39"/>
      <c r="S62" s="21">
        <v>10.02</v>
      </c>
      <c r="T62" s="21"/>
      <c r="U62" s="46">
        <f t="shared" si="78"/>
        <v>4674.55</v>
      </c>
      <c r="V62" s="49">
        <f>VLOOKUP($B62,'Taryfa PSG'!$B$4:$D$10,2,0)</f>
        <v>3.6890000000000001</v>
      </c>
      <c r="W62" s="27">
        <f t="shared" si="79"/>
        <v>1512.49</v>
      </c>
      <c r="X62" s="26">
        <f>VLOOKUP($B62,'Taryfa PSG'!$B$4:$D$10,3,0)</f>
        <v>45.19</v>
      </c>
      <c r="Y62" s="15">
        <f t="shared" si="80"/>
        <v>542.28</v>
      </c>
      <c r="Z62" s="72">
        <f t="shared" si="75"/>
        <v>2054.77</v>
      </c>
      <c r="AA62" s="36">
        <f t="shared" si="76"/>
        <v>6729.32</v>
      </c>
      <c r="AB62" s="34">
        <v>0.23</v>
      </c>
      <c r="AC62" s="35">
        <f t="shared" si="81"/>
        <v>1547.74</v>
      </c>
      <c r="AD62" s="37">
        <f t="shared" si="82"/>
        <v>8277.06</v>
      </c>
    </row>
    <row r="63" spans="2:30" ht="30.75" customHeight="1" x14ac:dyDescent="0.2">
      <c r="B63" s="41" t="s">
        <v>49</v>
      </c>
      <c r="C63" s="13">
        <v>1</v>
      </c>
      <c r="D63" s="13">
        <v>0</v>
      </c>
      <c r="E63" s="51">
        <v>0.45</v>
      </c>
      <c r="F63" s="31">
        <f t="shared" si="77"/>
        <v>0.55000000000000004</v>
      </c>
      <c r="G63" s="30" t="s">
        <v>4</v>
      </c>
      <c r="H63" s="13">
        <v>12</v>
      </c>
      <c r="I63" s="13" t="s">
        <v>40</v>
      </c>
      <c r="J63" s="24">
        <v>26721</v>
      </c>
      <c r="K63" s="24">
        <v>32659</v>
      </c>
      <c r="L63" s="24">
        <v>0</v>
      </c>
      <c r="M63" s="24">
        <v>0</v>
      </c>
      <c r="N63" s="47">
        <f t="shared" si="83"/>
        <v>59380</v>
      </c>
      <c r="O63" s="38">
        <v>23.965</v>
      </c>
      <c r="P63" s="39"/>
      <c r="Q63" s="39">
        <v>24.355</v>
      </c>
      <c r="R63" s="39"/>
      <c r="S63" s="21">
        <v>10.02</v>
      </c>
      <c r="T63" s="21"/>
      <c r="U63" s="46">
        <f t="shared" si="78"/>
        <v>6523.93</v>
      </c>
      <c r="V63" s="49">
        <f>VLOOKUP($B63,'Taryfa PSG'!$B$4:$D$10,2,0)</f>
        <v>3.6890000000000001</v>
      </c>
      <c r="W63" s="27">
        <f t="shared" si="79"/>
        <v>2190.5300000000002</v>
      </c>
      <c r="X63" s="26">
        <f>VLOOKUP($B63,'Taryfa PSG'!$B$4:$D$10,3,0)</f>
        <v>45.19</v>
      </c>
      <c r="Y63" s="15">
        <f t="shared" si="80"/>
        <v>542.28</v>
      </c>
      <c r="Z63" s="72">
        <f t="shared" si="75"/>
        <v>2732.8100000000004</v>
      </c>
      <c r="AA63" s="36">
        <f t="shared" si="76"/>
        <v>9256.7400000000016</v>
      </c>
      <c r="AB63" s="34">
        <v>0.23</v>
      </c>
      <c r="AC63" s="35">
        <f t="shared" si="81"/>
        <v>2129.0500000000002</v>
      </c>
      <c r="AD63" s="37">
        <f t="shared" si="82"/>
        <v>11385.79</v>
      </c>
    </row>
    <row r="64" spans="2:30" ht="30.75" customHeight="1" x14ac:dyDescent="0.2">
      <c r="B64" s="41" t="s">
        <v>49</v>
      </c>
      <c r="C64" s="13">
        <v>1</v>
      </c>
      <c r="D64" s="13">
        <v>0</v>
      </c>
      <c r="E64" s="51">
        <v>0.32690000000000002</v>
      </c>
      <c r="F64" s="31">
        <f t="shared" si="77"/>
        <v>0.67310000000000003</v>
      </c>
      <c r="G64" s="30" t="s">
        <v>4</v>
      </c>
      <c r="H64" s="13">
        <v>12</v>
      </c>
      <c r="I64" s="13" t="s">
        <v>40</v>
      </c>
      <c r="J64" s="24">
        <v>25573</v>
      </c>
      <c r="K64" s="24">
        <v>52657</v>
      </c>
      <c r="L64" s="24">
        <v>0</v>
      </c>
      <c r="M64" s="24">
        <v>0</v>
      </c>
      <c r="N64" s="47">
        <f t="shared" si="83"/>
        <v>78230</v>
      </c>
      <c r="O64" s="38">
        <v>23.965</v>
      </c>
      <c r="P64" s="39"/>
      <c r="Q64" s="39">
        <v>24.355</v>
      </c>
      <c r="R64" s="39"/>
      <c r="S64" s="21">
        <v>10.02</v>
      </c>
      <c r="T64" s="21"/>
      <c r="U64" s="46">
        <f t="shared" si="78"/>
        <v>6248.81</v>
      </c>
      <c r="V64" s="49">
        <f>VLOOKUP($B64,'Taryfa PSG'!$B$4:$D$10,2,0)</f>
        <v>3.6890000000000001</v>
      </c>
      <c r="W64" s="27">
        <f t="shared" si="79"/>
        <v>2885.9</v>
      </c>
      <c r="X64" s="26">
        <f>VLOOKUP($B64,'Taryfa PSG'!$B$4:$D$10,3,0)</f>
        <v>45.19</v>
      </c>
      <c r="Y64" s="15">
        <f t="shared" si="80"/>
        <v>542.28</v>
      </c>
      <c r="Z64" s="72">
        <f t="shared" si="75"/>
        <v>3428.1800000000003</v>
      </c>
      <c r="AA64" s="36">
        <f t="shared" si="76"/>
        <v>9676.9900000000016</v>
      </c>
      <c r="AB64" s="34">
        <v>0.23</v>
      </c>
      <c r="AC64" s="35">
        <f t="shared" si="81"/>
        <v>2225.71</v>
      </c>
      <c r="AD64" s="37">
        <f t="shared" si="82"/>
        <v>11902.7</v>
      </c>
    </row>
    <row r="65" spans="2:30" ht="30.75" customHeight="1" x14ac:dyDescent="0.2">
      <c r="B65" s="41" t="s">
        <v>49</v>
      </c>
      <c r="C65" s="13">
        <v>1</v>
      </c>
      <c r="D65" s="13">
        <v>0</v>
      </c>
      <c r="E65" s="51">
        <v>0.3135</v>
      </c>
      <c r="F65" s="31">
        <f t="shared" si="77"/>
        <v>0.6865</v>
      </c>
      <c r="G65" s="30" t="s">
        <v>4</v>
      </c>
      <c r="H65" s="13">
        <v>12</v>
      </c>
      <c r="I65" s="13" t="s">
        <v>40</v>
      </c>
      <c r="J65" s="24">
        <v>8101</v>
      </c>
      <c r="K65" s="24">
        <v>17739</v>
      </c>
      <c r="L65" s="24">
        <v>0</v>
      </c>
      <c r="M65" s="24">
        <v>0</v>
      </c>
      <c r="N65" s="47">
        <f t="shared" si="83"/>
        <v>25840</v>
      </c>
      <c r="O65" s="38">
        <v>23.965</v>
      </c>
      <c r="P65" s="39"/>
      <c r="Q65" s="39">
        <v>24.355</v>
      </c>
      <c r="R65" s="39"/>
      <c r="S65" s="21">
        <v>10.02</v>
      </c>
      <c r="T65" s="21"/>
      <c r="U65" s="46">
        <f t="shared" si="78"/>
        <v>2061.64</v>
      </c>
      <c r="V65" s="49">
        <f>VLOOKUP($B65,'Taryfa PSG'!$B$4:$D$10,2,0)</f>
        <v>3.6890000000000001</v>
      </c>
      <c r="W65" s="27">
        <f t="shared" si="79"/>
        <v>953.24</v>
      </c>
      <c r="X65" s="26">
        <f>VLOOKUP($B65,'Taryfa PSG'!$B$4:$D$10,3,0)</f>
        <v>45.19</v>
      </c>
      <c r="Y65" s="15">
        <f t="shared" si="80"/>
        <v>542.28</v>
      </c>
      <c r="Z65" s="72">
        <f t="shared" si="75"/>
        <v>1495.52</v>
      </c>
      <c r="AA65" s="36">
        <f t="shared" si="76"/>
        <v>3557.16</v>
      </c>
      <c r="AB65" s="34">
        <v>0.23</v>
      </c>
      <c r="AC65" s="35">
        <f t="shared" si="81"/>
        <v>818.15</v>
      </c>
      <c r="AD65" s="37">
        <f t="shared" si="82"/>
        <v>4375.3099999999995</v>
      </c>
    </row>
    <row r="66" spans="2:30" ht="30.75" customHeight="1" x14ac:dyDescent="0.2">
      <c r="B66" s="41" t="s">
        <v>49</v>
      </c>
      <c r="C66" s="13">
        <v>1</v>
      </c>
      <c r="D66" s="13">
        <v>0</v>
      </c>
      <c r="E66" s="51">
        <v>0.17249999999999999</v>
      </c>
      <c r="F66" s="31">
        <f t="shared" si="77"/>
        <v>0.82750000000000001</v>
      </c>
      <c r="G66" s="30" t="s">
        <v>4</v>
      </c>
      <c r="H66" s="13">
        <v>12</v>
      </c>
      <c r="I66" s="13" t="s">
        <v>40</v>
      </c>
      <c r="J66" s="24">
        <v>4666</v>
      </c>
      <c r="K66" s="24">
        <v>22384</v>
      </c>
      <c r="L66" s="24">
        <v>0</v>
      </c>
      <c r="M66" s="24">
        <v>0</v>
      </c>
      <c r="N66" s="47">
        <f t="shared" si="83"/>
        <v>27050</v>
      </c>
      <c r="O66" s="38">
        <v>23.965</v>
      </c>
      <c r="P66" s="39"/>
      <c r="Q66" s="39">
        <v>24.355</v>
      </c>
      <c r="R66" s="39"/>
      <c r="S66" s="21">
        <v>10.02</v>
      </c>
      <c r="T66" s="21"/>
      <c r="U66" s="46">
        <f t="shared" si="78"/>
        <v>1238.45</v>
      </c>
      <c r="V66" s="49">
        <f>VLOOKUP($B66,'Taryfa PSG'!$B$4:$D$10,2,0)</f>
        <v>3.6890000000000001</v>
      </c>
      <c r="W66" s="27">
        <f t="shared" si="79"/>
        <v>997.87</v>
      </c>
      <c r="X66" s="26">
        <f>VLOOKUP($B66,'Taryfa PSG'!$B$4:$D$10,3,0)</f>
        <v>45.19</v>
      </c>
      <c r="Y66" s="15">
        <f t="shared" si="80"/>
        <v>542.28</v>
      </c>
      <c r="Z66" s="72">
        <f t="shared" si="75"/>
        <v>1540.15</v>
      </c>
      <c r="AA66" s="36">
        <f t="shared" si="76"/>
        <v>2778.6000000000004</v>
      </c>
      <c r="AB66" s="34">
        <v>0.23</v>
      </c>
      <c r="AC66" s="35">
        <f t="shared" si="81"/>
        <v>639.08000000000004</v>
      </c>
      <c r="AD66" s="37">
        <f t="shared" si="82"/>
        <v>3417.6800000000003</v>
      </c>
    </row>
    <row r="67" spans="2:30" ht="30.75" customHeight="1" x14ac:dyDescent="0.2">
      <c r="B67" s="41" t="s">
        <v>49</v>
      </c>
      <c r="C67" s="13">
        <v>1</v>
      </c>
      <c r="D67" s="13">
        <v>0</v>
      </c>
      <c r="E67" s="51">
        <v>0.1225</v>
      </c>
      <c r="F67" s="31">
        <f t="shared" si="77"/>
        <v>0.87749999999999995</v>
      </c>
      <c r="G67" s="30" t="s">
        <v>4</v>
      </c>
      <c r="H67" s="13">
        <v>12</v>
      </c>
      <c r="I67" s="13" t="s">
        <v>40</v>
      </c>
      <c r="J67" s="24">
        <v>5520</v>
      </c>
      <c r="K67" s="24">
        <v>39540</v>
      </c>
      <c r="L67" s="24">
        <v>0</v>
      </c>
      <c r="M67" s="24">
        <v>0</v>
      </c>
      <c r="N67" s="47">
        <f t="shared" si="83"/>
        <v>45060</v>
      </c>
      <c r="O67" s="38">
        <v>23.965</v>
      </c>
      <c r="P67" s="39"/>
      <c r="Q67" s="39">
        <v>24.355</v>
      </c>
      <c r="R67" s="39"/>
      <c r="S67" s="21">
        <v>10.02</v>
      </c>
      <c r="T67" s="21"/>
      <c r="U67" s="46">
        <f t="shared" si="78"/>
        <v>1443.11</v>
      </c>
      <c r="V67" s="49">
        <f>VLOOKUP($B67,'Taryfa PSG'!$B$4:$D$10,2,0)</f>
        <v>3.6890000000000001</v>
      </c>
      <c r="W67" s="27">
        <f t="shared" si="79"/>
        <v>1662.26</v>
      </c>
      <c r="X67" s="26">
        <f>VLOOKUP($B67,'Taryfa PSG'!$B$4:$D$10,3,0)</f>
        <v>45.19</v>
      </c>
      <c r="Y67" s="15">
        <f t="shared" si="80"/>
        <v>542.28</v>
      </c>
      <c r="Z67" s="72">
        <f t="shared" si="75"/>
        <v>2204.54</v>
      </c>
      <c r="AA67" s="36">
        <f t="shared" si="76"/>
        <v>3647.6499999999996</v>
      </c>
      <c r="AB67" s="34">
        <v>0.23</v>
      </c>
      <c r="AC67" s="35">
        <f t="shared" si="81"/>
        <v>838.96</v>
      </c>
      <c r="AD67" s="37">
        <f t="shared" si="82"/>
        <v>4486.6099999999997</v>
      </c>
    </row>
    <row r="68" spans="2:30" ht="30.75" customHeight="1" x14ac:dyDescent="0.2">
      <c r="B68" s="41" t="s">
        <v>49</v>
      </c>
      <c r="C68" s="13">
        <v>1</v>
      </c>
      <c r="D68" s="13">
        <v>0</v>
      </c>
      <c r="E68" s="51">
        <v>0.1047</v>
      </c>
      <c r="F68" s="31">
        <f t="shared" si="77"/>
        <v>0.89529999999999998</v>
      </c>
      <c r="G68" s="30" t="s">
        <v>4</v>
      </c>
      <c r="H68" s="13">
        <v>12</v>
      </c>
      <c r="I68" s="13" t="s">
        <v>40</v>
      </c>
      <c r="J68" s="24">
        <v>3937</v>
      </c>
      <c r="K68" s="24">
        <v>33663</v>
      </c>
      <c r="L68" s="24">
        <v>0</v>
      </c>
      <c r="M68" s="24">
        <v>0</v>
      </c>
      <c r="N68" s="47">
        <f t="shared" si="83"/>
        <v>37600</v>
      </c>
      <c r="O68" s="38">
        <v>23.965</v>
      </c>
      <c r="P68" s="39"/>
      <c r="Q68" s="39">
        <v>24.355</v>
      </c>
      <c r="R68" s="39"/>
      <c r="S68" s="21">
        <v>10.02</v>
      </c>
      <c r="T68" s="21"/>
      <c r="U68" s="46">
        <f t="shared" si="78"/>
        <v>1063.74</v>
      </c>
      <c r="V68" s="49">
        <f>VLOOKUP($B68,'Taryfa PSG'!$B$4:$D$10,2,0)</f>
        <v>3.6890000000000001</v>
      </c>
      <c r="W68" s="27">
        <f t="shared" si="79"/>
        <v>1387.06</v>
      </c>
      <c r="X68" s="26">
        <f>VLOOKUP($B68,'Taryfa PSG'!$B$4:$D$10,3,0)</f>
        <v>45.19</v>
      </c>
      <c r="Y68" s="15">
        <f t="shared" si="80"/>
        <v>542.28</v>
      </c>
      <c r="Z68" s="72">
        <f t="shared" si="75"/>
        <v>1929.34</v>
      </c>
      <c r="AA68" s="36">
        <f t="shared" si="76"/>
        <v>2993.08</v>
      </c>
      <c r="AB68" s="34">
        <v>0.23</v>
      </c>
      <c r="AC68" s="35">
        <f t="shared" si="81"/>
        <v>688.41</v>
      </c>
      <c r="AD68" s="37">
        <f t="shared" si="82"/>
        <v>3681.49</v>
      </c>
    </row>
    <row r="69" spans="2:30" ht="30.75" customHeight="1" x14ac:dyDescent="0.2">
      <c r="B69" s="41" t="s">
        <v>49</v>
      </c>
      <c r="C69" s="13">
        <v>1</v>
      </c>
      <c r="D69" s="13">
        <v>0</v>
      </c>
      <c r="E69" s="51">
        <v>7.0000000000000007E-2</v>
      </c>
      <c r="F69" s="31">
        <f t="shared" si="77"/>
        <v>0.92999999999999994</v>
      </c>
      <c r="G69" s="30" t="s">
        <v>4</v>
      </c>
      <c r="H69" s="13">
        <v>12</v>
      </c>
      <c r="I69" s="13" t="s">
        <v>40</v>
      </c>
      <c r="J69" s="24">
        <v>5657</v>
      </c>
      <c r="K69" s="24">
        <v>75153</v>
      </c>
      <c r="L69" s="24">
        <v>0</v>
      </c>
      <c r="M69" s="24">
        <v>0</v>
      </c>
      <c r="N69" s="47">
        <f t="shared" si="83"/>
        <v>80810</v>
      </c>
      <c r="O69" s="38">
        <v>23.965</v>
      </c>
      <c r="P69" s="39"/>
      <c r="Q69" s="39">
        <v>24.355</v>
      </c>
      <c r="R69" s="39"/>
      <c r="S69" s="21">
        <v>10.02</v>
      </c>
      <c r="T69" s="21"/>
      <c r="U69" s="46">
        <f t="shared" si="78"/>
        <v>1475.94</v>
      </c>
      <c r="V69" s="49">
        <f>VLOOKUP($B69,'Taryfa PSG'!$B$4:$D$10,2,0)</f>
        <v>3.6890000000000001</v>
      </c>
      <c r="W69" s="27">
        <f t="shared" si="79"/>
        <v>2981.08</v>
      </c>
      <c r="X69" s="26">
        <f>VLOOKUP($B69,'Taryfa PSG'!$B$4:$D$10,3,0)</f>
        <v>45.19</v>
      </c>
      <c r="Y69" s="15">
        <f t="shared" si="80"/>
        <v>542.28</v>
      </c>
      <c r="Z69" s="72">
        <f t="shared" si="75"/>
        <v>3523.3599999999997</v>
      </c>
      <c r="AA69" s="36">
        <f t="shared" si="76"/>
        <v>4999.2999999999993</v>
      </c>
      <c r="AB69" s="34">
        <v>0.23</v>
      </c>
      <c r="AC69" s="35">
        <f t="shared" si="81"/>
        <v>1149.8399999999999</v>
      </c>
      <c r="AD69" s="37">
        <f t="shared" si="82"/>
        <v>6149.1399999999994</v>
      </c>
    </row>
    <row r="70" spans="2:30" ht="30.75" customHeight="1" x14ac:dyDescent="0.2">
      <c r="B70" s="41" t="s">
        <v>49</v>
      </c>
      <c r="C70" s="13">
        <v>0</v>
      </c>
      <c r="D70" s="13">
        <v>7</v>
      </c>
      <c r="E70" s="51">
        <v>0</v>
      </c>
      <c r="F70" s="31">
        <f t="shared" si="77"/>
        <v>1</v>
      </c>
      <c r="G70" s="30" t="s">
        <v>4</v>
      </c>
      <c r="H70" s="13">
        <v>12</v>
      </c>
      <c r="I70" s="13" t="s">
        <v>40</v>
      </c>
      <c r="J70" s="24">
        <v>0</v>
      </c>
      <c r="K70" s="24">
        <v>228730</v>
      </c>
      <c r="L70" s="24">
        <v>0</v>
      </c>
      <c r="M70" s="24">
        <v>33770</v>
      </c>
      <c r="N70" s="47">
        <f t="shared" si="83"/>
        <v>262500</v>
      </c>
      <c r="O70" s="38">
        <v>23.965</v>
      </c>
      <c r="P70" s="39"/>
      <c r="Q70" s="39">
        <v>24.355</v>
      </c>
      <c r="R70" s="39"/>
      <c r="S70" s="21">
        <v>10.02</v>
      </c>
      <c r="T70" s="21"/>
      <c r="U70" s="46">
        <f t="shared" si="78"/>
        <v>0</v>
      </c>
      <c r="V70" s="49">
        <f>VLOOKUP($B70,'Taryfa PSG'!$B$4:$D$10,2,0)</f>
        <v>3.6890000000000001</v>
      </c>
      <c r="W70" s="27">
        <f t="shared" si="79"/>
        <v>9683.6299999999992</v>
      </c>
      <c r="X70" s="26">
        <f>VLOOKUP($B70,'Taryfa PSG'!$B$4:$D$10,3,0)</f>
        <v>45.19</v>
      </c>
      <c r="Y70" s="15">
        <f t="shared" si="80"/>
        <v>3795.96</v>
      </c>
      <c r="Z70" s="72">
        <f t="shared" si="75"/>
        <v>13479.59</v>
      </c>
      <c r="AA70" s="36">
        <f t="shared" si="76"/>
        <v>13479.59</v>
      </c>
      <c r="AB70" s="34">
        <v>0.23</v>
      </c>
      <c r="AC70" s="35">
        <f t="shared" si="81"/>
        <v>3100.31</v>
      </c>
      <c r="AD70" s="37">
        <f t="shared" si="82"/>
        <v>16579.900000000001</v>
      </c>
    </row>
    <row r="71" spans="2:30" ht="30.75" customHeight="1" x14ac:dyDescent="0.2">
      <c r="B71" s="40" t="s">
        <v>19</v>
      </c>
      <c r="C71" s="13">
        <v>14</v>
      </c>
      <c r="D71" s="13">
        <v>0</v>
      </c>
      <c r="E71" s="43">
        <v>1</v>
      </c>
      <c r="F71" s="31">
        <f t="shared" si="77"/>
        <v>0</v>
      </c>
      <c r="G71" s="30" t="s">
        <v>4</v>
      </c>
      <c r="H71" s="13">
        <v>12</v>
      </c>
      <c r="I71" s="13" t="s">
        <v>40</v>
      </c>
      <c r="J71" s="24">
        <v>1763680</v>
      </c>
      <c r="K71" s="24">
        <v>0</v>
      </c>
      <c r="L71" s="24">
        <v>0</v>
      </c>
      <c r="M71" s="24">
        <v>0</v>
      </c>
      <c r="N71" s="47">
        <f t="shared" si="83"/>
        <v>1763680</v>
      </c>
      <c r="O71" s="38">
        <v>23.965</v>
      </c>
      <c r="P71" s="39"/>
      <c r="Q71" s="39">
        <v>24.355</v>
      </c>
      <c r="R71" s="39"/>
      <c r="S71" s="21">
        <v>16.11</v>
      </c>
      <c r="T71" s="21"/>
      <c r="U71" s="46">
        <f t="shared" si="78"/>
        <v>425372.39</v>
      </c>
      <c r="V71" s="49">
        <f>VLOOKUP($B71,'Taryfa PSG'!$B$4:$D$10,2,0)</f>
        <v>3.6150000000000002</v>
      </c>
      <c r="W71" s="27">
        <f t="shared" si="79"/>
        <v>63757.03</v>
      </c>
      <c r="X71" s="26">
        <f>VLOOKUP($B71,'Taryfa PSG'!$B$4:$D$10,3,0)</f>
        <v>252.42</v>
      </c>
      <c r="Y71" s="15">
        <f t="shared" si="80"/>
        <v>42406.559999999998</v>
      </c>
      <c r="Z71" s="72">
        <f t="shared" si="75"/>
        <v>106163.59</v>
      </c>
      <c r="AA71" s="36">
        <f t="shared" si="76"/>
        <v>531535.98</v>
      </c>
      <c r="AB71" s="34">
        <v>0.23</v>
      </c>
      <c r="AC71" s="35">
        <f t="shared" si="81"/>
        <v>122253.28</v>
      </c>
      <c r="AD71" s="37">
        <f t="shared" si="82"/>
        <v>653789.26</v>
      </c>
    </row>
    <row r="72" spans="2:30" ht="30.75" customHeight="1" x14ac:dyDescent="0.2">
      <c r="B72" s="40" t="s">
        <v>19</v>
      </c>
      <c r="C72" s="13">
        <v>1</v>
      </c>
      <c r="D72" s="13">
        <v>0</v>
      </c>
      <c r="E72" s="43">
        <v>0.82540000000000002</v>
      </c>
      <c r="F72" s="31">
        <f t="shared" si="77"/>
        <v>0.17459999999999998</v>
      </c>
      <c r="G72" s="30" t="s">
        <v>4</v>
      </c>
      <c r="H72" s="13">
        <v>12</v>
      </c>
      <c r="I72" s="13" t="s">
        <v>40</v>
      </c>
      <c r="J72" s="24">
        <v>90497</v>
      </c>
      <c r="K72" s="24">
        <v>19143</v>
      </c>
      <c r="L72" s="24">
        <v>0</v>
      </c>
      <c r="M72" s="24">
        <v>0</v>
      </c>
      <c r="N72" s="47">
        <f t="shared" si="83"/>
        <v>109640</v>
      </c>
      <c r="O72" s="38">
        <v>23.965</v>
      </c>
      <c r="P72" s="39"/>
      <c r="Q72" s="39">
        <v>24.355</v>
      </c>
      <c r="R72" s="39"/>
      <c r="S72" s="21">
        <v>16.11</v>
      </c>
      <c r="T72" s="21"/>
      <c r="U72" s="46">
        <f t="shared" si="78"/>
        <v>21880.93</v>
      </c>
      <c r="V72" s="49">
        <f>VLOOKUP($B72,'Taryfa PSG'!$B$4:$D$10,2,0)</f>
        <v>3.6150000000000002</v>
      </c>
      <c r="W72" s="27">
        <f t="shared" si="79"/>
        <v>3963.49</v>
      </c>
      <c r="X72" s="26">
        <f>VLOOKUP($B72,'Taryfa PSG'!$B$4:$D$10,3,0)</f>
        <v>252.42</v>
      </c>
      <c r="Y72" s="15">
        <f t="shared" si="80"/>
        <v>3029.04</v>
      </c>
      <c r="Z72" s="72">
        <f t="shared" si="75"/>
        <v>6992.53</v>
      </c>
      <c r="AA72" s="36">
        <f t="shared" si="76"/>
        <v>28873.46</v>
      </c>
      <c r="AB72" s="34">
        <v>0.23</v>
      </c>
      <c r="AC72" s="35">
        <f t="shared" si="81"/>
        <v>6640.9</v>
      </c>
      <c r="AD72" s="37">
        <f t="shared" si="82"/>
        <v>35514.36</v>
      </c>
    </row>
    <row r="73" spans="2:30" ht="30.75" customHeight="1" x14ac:dyDescent="0.2">
      <c r="B73" s="40" t="s">
        <v>19</v>
      </c>
      <c r="C73" s="13">
        <v>1</v>
      </c>
      <c r="D73" s="13">
        <v>0</v>
      </c>
      <c r="E73" s="43">
        <v>0.5</v>
      </c>
      <c r="F73" s="31">
        <f t="shared" si="77"/>
        <v>0.5</v>
      </c>
      <c r="G73" s="30" t="s">
        <v>4</v>
      </c>
      <c r="H73" s="13">
        <v>12</v>
      </c>
      <c r="I73" s="13" t="s">
        <v>40</v>
      </c>
      <c r="J73" s="24">
        <v>45660</v>
      </c>
      <c r="K73" s="24">
        <v>45660</v>
      </c>
      <c r="L73" s="24">
        <v>0</v>
      </c>
      <c r="M73" s="24">
        <v>0</v>
      </c>
      <c r="N73" s="47">
        <f t="shared" si="83"/>
        <v>91320</v>
      </c>
      <c r="O73" s="38">
        <v>23.965</v>
      </c>
      <c r="P73" s="39"/>
      <c r="Q73" s="39">
        <v>24.355</v>
      </c>
      <c r="R73" s="39"/>
      <c r="S73" s="21">
        <v>16.11</v>
      </c>
      <c r="T73" s="21"/>
      <c r="U73" s="46">
        <f t="shared" si="78"/>
        <v>11135.74</v>
      </c>
      <c r="V73" s="49">
        <f>VLOOKUP($B73,'Taryfa PSG'!$B$4:$D$10,2,0)</f>
        <v>3.6150000000000002</v>
      </c>
      <c r="W73" s="27">
        <f t="shared" si="79"/>
        <v>3301.22</v>
      </c>
      <c r="X73" s="26">
        <f>VLOOKUP($B73,'Taryfa PSG'!$B$4:$D$10,3,0)</f>
        <v>252.42</v>
      </c>
      <c r="Y73" s="15">
        <f t="shared" si="80"/>
        <v>3029.04</v>
      </c>
      <c r="Z73" s="72">
        <f t="shared" si="75"/>
        <v>6330.26</v>
      </c>
      <c r="AA73" s="36">
        <f t="shared" si="76"/>
        <v>17466</v>
      </c>
      <c r="AB73" s="34">
        <v>0.23</v>
      </c>
      <c r="AC73" s="35">
        <f t="shared" si="81"/>
        <v>4017.18</v>
      </c>
      <c r="AD73" s="37">
        <f t="shared" si="82"/>
        <v>21483.18</v>
      </c>
    </row>
    <row r="74" spans="2:30" ht="30.75" customHeight="1" x14ac:dyDescent="0.2">
      <c r="B74" s="40" t="s">
        <v>19</v>
      </c>
      <c r="C74" s="13">
        <v>0</v>
      </c>
      <c r="D74" s="13">
        <v>4</v>
      </c>
      <c r="E74" s="43">
        <v>0</v>
      </c>
      <c r="F74" s="31">
        <f t="shared" si="77"/>
        <v>1</v>
      </c>
      <c r="G74" s="30" t="s">
        <v>4</v>
      </c>
      <c r="H74" s="13">
        <v>12</v>
      </c>
      <c r="I74" s="13" t="s">
        <v>40</v>
      </c>
      <c r="J74" s="24">
        <v>0</v>
      </c>
      <c r="K74" s="24">
        <v>450700</v>
      </c>
      <c r="L74" s="24">
        <v>0</v>
      </c>
      <c r="M74" s="24">
        <v>0</v>
      </c>
      <c r="N74" s="47">
        <f t="shared" si="83"/>
        <v>450700</v>
      </c>
      <c r="O74" s="38">
        <v>23.965</v>
      </c>
      <c r="P74" s="39"/>
      <c r="Q74" s="39">
        <v>24.355</v>
      </c>
      <c r="R74" s="39"/>
      <c r="S74" s="21">
        <v>16.11</v>
      </c>
      <c r="T74" s="21"/>
      <c r="U74" s="46">
        <f t="shared" si="78"/>
        <v>0</v>
      </c>
      <c r="V74" s="49">
        <f>VLOOKUP($B74,'Taryfa PSG'!$B$4:$D$10,2,0)</f>
        <v>3.6150000000000002</v>
      </c>
      <c r="W74" s="27">
        <f t="shared" si="79"/>
        <v>16292.81</v>
      </c>
      <c r="X74" s="26">
        <f>VLOOKUP($B74,'Taryfa PSG'!$B$4:$D$10,3,0)</f>
        <v>252.42</v>
      </c>
      <c r="Y74" s="15">
        <f t="shared" si="80"/>
        <v>12116.16</v>
      </c>
      <c r="Z74" s="72">
        <f t="shared" si="75"/>
        <v>28408.97</v>
      </c>
      <c r="AA74" s="36">
        <f t="shared" si="76"/>
        <v>28408.97</v>
      </c>
      <c r="AB74" s="34">
        <v>0.23</v>
      </c>
      <c r="AC74" s="35">
        <f t="shared" si="81"/>
        <v>6534.06</v>
      </c>
      <c r="AD74" s="37">
        <f t="shared" si="82"/>
        <v>34943.03</v>
      </c>
    </row>
    <row r="75" spans="2:30" ht="30.75" customHeight="1" x14ac:dyDescent="0.2">
      <c r="B75" s="53" t="s">
        <v>18</v>
      </c>
      <c r="C75" s="13">
        <v>23</v>
      </c>
      <c r="D75" s="13">
        <v>0</v>
      </c>
      <c r="E75" s="43">
        <v>1</v>
      </c>
      <c r="F75" s="31">
        <f t="shared" si="77"/>
        <v>0</v>
      </c>
      <c r="G75" s="13">
        <v>4178</v>
      </c>
      <c r="H75" s="13">
        <v>12</v>
      </c>
      <c r="I75" s="13">
        <v>8760</v>
      </c>
      <c r="J75" s="24">
        <v>5147110</v>
      </c>
      <c r="K75" s="24">
        <v>0</v>
      </c>
      <c r="L75" s="24">
        <v>0</v>
      </c>
      <c r="M75" s="24">
        <v>0</v>
      </c>
      <c r="N75" s="47">
        <f t="shared" si="83"/>
        <v>5147110</v>
      </c>
      <c r="O75" s="38">
        <v>23.917999999999999</v>
      </c>
      <c r="P75" s="39"/>
      <c r="Q75" s="39">
        <v>24.308</v>
      </c>
      <c r="R75" s="39"/>
      <c r="S75" s="21">
        <v>123</v>
      </c>
      <c r="T75" s="21"/>
      <c r="U75" s="46">
        <f t="shared" si="78"/>
        <v>1265033.77</v>
      </c>
      <c r="V75" s="49">
        <f>VLOOKUP($B75,'Taryfa PSG'!$B$4:$D$10,2,0)</f>
        <v>3.278</v>
      </c>
      <c r="W75" s="27">
        <f t="shared" si="79"/>
        <v>168722.27</v>
      </c>
      <c r="X75" s="26">
        <f>VLOOKUP($B75,'Taryfa PSG'!$B$4:$D$10,3,0)</f>
        <v>0.65400000000000003</v>
      </c>
      <c r="Y75" s="15">
        <f>+ROUND(G75*I75*X75/100,2)</f>
        <v>239359.29</v>
      </c>
      <c r="Z75" s="72">
        <f t="shared" si="75"/>
        <v>408081.56</v>
      </c>
      <c r="AA75" s="36">
        <f t="shared" si="76"/>
        <v>1673115.33</v>
      </c>
      <c r="AB75" s="34">
        <v>0.23</v>
      </c>
      <c r="AC75" s="35">
        <f t="shared" si="81"/>
        <v>384816.53</v>
      </c>
      <c r="AD75" s="37">
        <f t="shared" si="82"/>
        <v>2057931.86</v>
      </c>
    </row>
    <row r="76" spans="2:30" ht="30.75" customHeight="1" x14ac:dyDescent="0.2">
      <c r="B76" s="53" t="s">
        <v>18</v>
      </c>
      <c r="C76" s="13">
        <v>0</v>
      </c>
      <c r="D76" s="13">
        <v>1</v>
      </c>
      <c r="E76" s="43">
        <v>0.47</v>
      </c>
      <c r="F76" s="31">
        <f t="shared" si="77"/>
        <v>0.53</v>
      </c>
      <c r="G76" s="13">
        <v>165</v>
      </c>
      <c r="H76" s="13">
        <v>12</v>
      </c>
      <c r="I76" s="13">
        <v>8760</v>
      </c>
      <c r="J76" s="24">
        <v>64724</v>
      </c>
      <c r="K76" s="24">
        <v>72986</v>
      </c>
      <c r="L76" s="24">
        <v>0</v>
      </c>
      <c r="M76" s="24">
        <v>0</v>
      </c>
      <c r="N76" s="47">
        <f t="shared" si="83"/>
        <v>137710</v>
      </c>
      <c r="O76" s="38">
        <v>23.917999999999999</v>
      </c>
      <c r="P76" s="39"/>
      <c r="Q76" s="39">
        <v>24.308</v>
      </c>
      <c r="R76" s="39"/>
      <c r="S76" s="21">
        <v>123</v>
      </c>
      <c r="T76" s="21"/>
      <c r="U76" s="46">
        <f t="shared" si="78"/>
        <v>15480.69</v>
      </c>
      <c r="V76" s="49">
        <f>VLOOKUP($B76,'Taryfa PSG'!$B$4:$D$10,2,0)</f>
        <v>3.278</v>
      </c>
      <c r="W76" s="27">
        <f t="shared" si="79"/>
        <v>4514.13</v>
      </c>
      <c r="X76" s="26">
        <f>VLOOKUP($B76,'Taryfa PSG'!$B$4:$D$10,3,0)</f>
        <v>0.65400000000000003</v>
      </c>
      <c r="Y76" s="15">
        <f t="shared" ref="Y76:Y77" si="84">+ROUND(G76*I76*X76/100,2)</f>
        <v>9452.92</v>
      </c>
      <c r="Z76" s="72">
        <f t="shared" si="75"/>
        <v>13967.05</v>
      </c>
      <c r="AA76" s="36">
        <f t="shared" si="76"/>
        <v>29447.739999999998</v>
      </c>
      <c r="AB76" s="34">
        <v>0.23</v>
      </c>
      <c r="AC76" s="35">
        <f t="shared" si="81"/>
        <v>6772.98</v>
      </c>
      <c r="AD76" s="37">
        <f t="shared" si="82"/>
        <v>36220.720000000001</v>
      </c>
    </row>
    <row r="77" spans="2:30" ht="30.75" customHeight="1" thickBot="1" x14ac:dyDescent="0.25">
      <c r="B77" s="60" t="s">
        <v>72</v>
      </c>
      <c r="C77" s="14">
        <v>1</v>
      </c>
      <c r="D77" s="14">
        <v>0</v>
      </c>
      <c r="E77" s="44">
        <v>1</v>
      </c>
      <c r="F77" s="65">
        <f t="shared" si="77"/>
        <v>0</v>
      </c>
      <c r="G77" s="14">
        <v>2000</v>
      </c>
      <c r="H77" s="14">
        <v>12</v>
      </c>
      <c r="I77" s="14">
        <v>8760</v>
      </c>
      <c r="J77" s="25">
        <v>6242550</v>
      </c>
      <c r="K77" s="25">
        <v>0</v>
      </c>
      <c r="L77" s="25">
        <v>0</v>
      </c>
      <c r="M77" s="25">
        <v>0</v>
      </c>
      <c r="N77" s="48">
        <f>+J77+K77+L77+M77</f>
        <v>6242550</v>
      </c>
      <c r="O77" s="66">
        <v>23.917999999999999</v>
      </c>
      <c r="P77" s="177"/>
      <c r="Q77" s="177">
        <v>24.308</v>
      </c>
      <c r="R77" s="177"/>
      <c r="S77" s="67">
        <v>123</v>
      </c>
      <c r="T77" s="67"/>
      <c r="U77" s="45">
        <f>+ROUND((J77*O77/100+K77*P77/100+L77*Q77/100+M77*R77/100+C77*H77*S77+D77*H77*T77),2)</f>
        <v>1494569.11</v>
      </c>
      <c r="V77" s="50">
        <f>VLOOKUP($B77,'Taryfa PSG'!$B$4:$D$10,2,0)</f>
        <v>3.0880000000000001</v>
      </c>
      <c r="W77" s="29">
        <f t="shared" si="79"/>
        <v>192769.94</v>
      </c>
      <c r="X77" s="28">
        <f>VLOOKUP($B77,'Taryfa PSG'!$B$4:$D$10,3,0)</f>
        <v>0.60099999999999998</v>
      </c>
      <c r="Y77" s="16">
        <f t="shared" si="84"/>
        <v>105295.2</v>
      </c>
      <c r="Z77" s="73">
        <f t="shared" si="75"/>
        <v>298065.14</v>
      </c>
      <c r="AA77" s="56">
        <f t="shared" si="76"/>
        <v>1792634.25</v>
      </c>
      <c r="AB77" s="57">
        <v>0.23</v>
      </c>
      <c r="AC77" s="58">
        <f t="shared" si="81"/>
        <v>412305.88</v>
      </c>
      <c r="AD77" s="59">
        <f t="shared" si="82"/>
        <v>2204940.13</v>
      </c>
    </row>
    <row r="78" spans="2:30" ht="39" customHeight="1" thickBot="1" x14ac:dyDescent="0.25">
      <c r="B78" s="7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9"/>
      <c r="W78" s="10"/>
      <c r="X78" s="11"/>
      <c r="Y78" s="12"/>
      <c r="Z78" s="12"/>
      <c r="AA78" s="68">
        <f>SUM(AA47:AA77)</f>
        <v>4887215.7300000004</v>
      </c>
      <c r="AB78" s="69">
        <v>0.23</v>
      </c>
      <c r="AC78" s="70">
        <f>SUM(AC47:AC77)</f>
        <v>1124059.6299999999</v>
      </c>
      <c r="AD78" s="71">
        <f>SUM(AD47:AD77)</f>
        <v>6011275.3600000003</v>
      </c>
    </row>
    <row r="79" spans="2:30" ht="25.5" customHeight="1" x14ac:dyDescent="0.2">
      <c r="B79" s="19" t="s">
        <v>46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9"/>
      <c r="W79" s="10"/>
      <c r="X79" s="11"/>
      <c r="Y79" s="12"/>
      <c r="Z79" s="12"/>
      <c r="AA79" s="54"/>
      <c r="AB79" s="55"/>
      <c r="AC79" s="54"/>
      <c r="AD79" s="54"/>
    </row>
    <row r="80" spans="2:30" ht="51" customHeight="1" x14ac:dyDescent="0.2">
      <c r="B80" s="165" t="s">
        <v>80</v>
      </c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AA80" s="109" t="s">
        <v>76</v>
      </c>
      <c r="AB80" s="109"/>
      <c r="AC80" s="104">
        <f>AA40+AA78</f>
        <v>9774431.4600000009</v>
      </c>
      <c r="AD80" s="104"/>
    </row>
    <row r="81" spans="2:30" ht="27" customHeight="1" x14ac:dyDescent="0.2">
      <c r="B81" s="20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74"/>
      <c r="AA81" s="110" t="s">
        <v>75</v>
      </c>
      <c r="AB81" s="110"/>
      <c r="AC81" s="105">
        <f>AC40+AC78</f>
        <v>2248119.2599999998</v>
      </c>
      <c r="AD81" s="105"/>
    </row>
    <row r="82" spans="2:30" ht="51" customHeight="1" x14ac:dyDescent="0.2">
      <c r="B82" s="20"/>
      <c r="J82" s="1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2"/>
      <c r="AA82" s="109" t="s">
        <v>77</v>
      </c>
      <c r="AB82" s="109"/>
      <c r="AC82" s="105">
        <f>AD40+AD78</f>
        <v>12022550.720000001</v>
      </c>
      <c r="AD82" s="105"/>
    </row>
    <row r="83" spans="2:30" ht="18" customHeight="1" thickBot="1" x14ac:dyDescent="0.25">
      <c r="B83" s="20"/>
      <c r="J83" s="1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2"/>
      <c r="AA83" s="76"/>
      <c r="AB83" s="76"/>
      <c r="AC83" s="75"/>
      <c r="AD83" s="75" t="s">
        <v>78</v>
      </c>
    </row>
    <row r="84" spans="2:30" ht="18" customHeight="1" x14ac:dyDescent="0.2">
      <c r="B84" s="90" t="s">
        <v>81</v>
      </c>
      <c r="C84" s="91"/>
      <c r="D84" s="91"/>
      <c r="E84" s="91"/>
      <c r="F84" s="91"/>
      <c r="G84" s="91"/>
      <c r="H84" s="91"/>
      <c r="I84" s="91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3"/>
      <c r="W84" s="91"/>
      <c r="X84" s="91"/>
      <c r="Y84" s="91"/>
      <c r="Z84" s="91"/>
      <c r="AA84" s="94"/>
      <c r="AB84" s="94"/>
      <c r="AC84" s="94"/>
      <c r="AD84" s="95"/>
    </row>
    <row r="85" spans="2:30" ht="18" customHeight="1" x14ac:dyDescent="0.2">
      <c r="B85" s="166" t="s">
        <v>84</v>
      </c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8"/>
    </row>
    <row r="86" spans="2:30" ht="24.75" customHeight="1" x14ac:dyDescent="0.2">
      <c r="B86" s="166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8"/>
    </row>
    <row r="87" spans="2:30" ht="24.75" customHeight="1" x14ac:dyDescent="0.2">
      <c r="B87" s="96" t="s">
        <v>82</v>
      </c>
      <c r="C87" s="97"/>
      <c r="D87" s="97"/>
      <c r="E87" s="97"/>
      <c r="F87" s="97"/>
      <c r="G87" s="97"/>
      <c r="H87" s="97"/>
      <c r="I87" s="97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7"/>
      <c r="X87" s="97"/>
      <c r="Y87" s="97"/>
      <c r="Z87" s="97"/>
      <c r="AA87" s="97"/>
      <c r="AB87" s="97"/>
      <c r="AC87" s="97"/>
      <c r="AD87" s="99"/>
    </row>
    <row r="88" spans="2:30" ht="24.75" customHeight="1" x14ac:dyDescent="0.2">
      <c r="B88" s="100" t="s">
        <v>83</v>
      </c>
      <c r="C88" s="97"/>
      <c r="D88" s="97"/>
      <c r="E88" s="97"/>
      <c r="F88" s="97"/>
      <c r="G88" s="97"/>
      <c r="H88" s="97"/>
      <c r="I88" s="97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7"/>
      <c r="X88" s="97"/>
      <c r="Y88" s="97"/>
      <c r="Z88" s="97"/>
      <c r="AA88" s="97"/>
      <c r="AB88" s="97"/>
      <c r="AC88" s="97"/>
      <c r="AD88" s="99"/>
    </row>
    <row r="89" spans="2:30" ht="24.75" customHeight="1" x14ac:dyDescent="0.2">
      <c r="B89" s="169" t="s">
        <v>85</v>
      </c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1"/>
    </row>
    <row r="90" spans="2:30" ht="24.75" customHeight="1" thickBot="1" x14ac:dyDescent="0.25">
      <c r="B90" s="101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3"/>
    </row>
  </sheetData>
  <mergeCells count="61">
    <mergeCell ref="B85:AD86"/>
    <mergeCell ref="B89:AD89"/>
    <mergeCell ref="C6:F6"/>
    <mergeCell ref="Y6:Y7"/>
    <mergeCell ref="J6:K6"/>
    <mergeCell ref="B6:B7"/>
    <mergeCell ref="G6:G7"/>
    <mergeCell ref="H6:H7"/>
    <mergeCell ref="I6:I7"/>
    <mergeCell ref="S6:T6"/>
    <mergeCell ref="V6:V7"/>
    <mergeCell ref="X6:X7"/>
    <mergeCell ref="S44:T44"/>
    <mergeCell ref="U44:U45"/>
    <mergeCell ref="V44:V45"/>
    <mergeCell ref="AA5:AD5"/>
    <mergeCell ref="B4:AD4"/>
    <mergeCell ref="AA6:AA7"/>
    <mergeCell ref="AB6:AB7"/>
    <mergeCell ref="V5:Z5"/>
    <mergeCell ref="W6:W7"/>
    <mergeCell ref="Z6:Z7"/>
    <mergeCell ref="AC6:AC7"/>
    <mergeCell ref="AD6:AD7"/>
    <mergeCell ref="B5:N5"/>
    <mergeCell ref="O6:P6"/>
    <mergeCell ref="Q6:R6"/>
    <mergeCell ref="U6:U7"/>
    <mergeCell ref="O5:U5"/>
    <mergeCell ref="L6:M6"/>
    <mergeCell ref="N6:N7"/>
    <mergeCell ref="J44:K44"/>
    <mergeCell ref="L44:M44"/>
    <mergeCell ref="N44:N45"/>
    <mergeCell ref="W44:W45"/>
    <mergeCell ref="X44:X45"/>
    <mergeCell ref="B44:B45"/>
    <mergeCell ref="C44:F44"/>
    <mergeCell ref="G44:G45"/>
    <mergeCell ref="H44:H45"/>
    <mergeCell ref="I44:I45"/>
    <mergeCell ref="B42:AD42"/>
    <mergeCell ref="B43:N43"/>
    <mergeCell ref="O43:U43"/>
    <mergeCell ref="V43:Z43"/>
    <mergeCell ref="AA43:AD43"/>
    <mergeCell ref="AC80:AD80"/>
    <mergeCell ref="AC81:AD81"/>
    <mergeCell ref="AC82:AD82"/>
    <mergeCell ref="O44:P44"/>
    <mergeCell ref="Q44:R44"/>
    <mergeCell ref="AA80:AB80"/>
    <mergeCell ref="AA81:AB81"/>
    <mergeCell ref="AA82:AB82"/>
    <mergeCell ref="AB44:AB45"/>
    <mergeCell ref="AC44:AC45"/>
    <mergeCell ref="AD44:AD45"/>
    <mergeCell ref="Y44:Y45"/>
    <mergeCell ref="Z44:Z45"/>
    <mergeCell ref="AA44:AA45"/>
    <mergeCell ref="B80:Y80"/>
  </mergeCells>
  <pageMargins left="0.25" right="0.26" top="0.28999999999999998" bottom="0.22" header="0.19" footer="0.14000000000000001"/>
  <pageSetup paperSize="9" scale="34" fitToHeight="0" orientation="landscape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workbookViewId="0">
      <selection activeCell="C4" sqref="C4"/>
    </sheetView>
  </sheetViews>
  <sheetFormatPr defaultRowHeight="12.75" x14ac:dyDescent="0.2"/>
  <cols>
    <col min="1" max="1" width="4.625" style="61" customWidth="1"/>
    <col min="2" max="2" width="10.25" style="61" bestFit="1" customWidth="1"/>
    <col min="3" max="3" width="14.75" style="61" customWidth="1"/>
    <col min="4" max="4" width="21.5" style="61" customWidth="1"/>
    <col min="5" max="16384" width="9" style="61"/>
  </cols>
  <sheetData>
    <row r="2" spans="2:4" ht="36" customHeight="1" x14ac:dyDescent="0.2">
      <c r="B2" s="176" t="s">
        <v>70</v>
      </c>
      <c r="C2" s="176"/>
      <c r="D2" s="176"/>
    </row>
    <row r="3" spans="2:4" ht="114.75" customHeight="1" x14ac:dyDescent="0.2">
      <c r="B3" s="62" t="s">
        <v>71</v>
      </c>
      <c r="C3" s="79" t="s">
        <v>73</v>
      </c>
      <c r="D3" s="80" t="s">
        <v>63</v>
      </c>
    </row>
    <row r="4" spans="2:4" ht="17.25" customHeight="1" x14ac:dyDescent="0.2">
      <c r="B4" s="62" t="s">
        <v>47</v>
      </c>
      <c r="C4" s="62">
        <v>6.7640000000000002</v>
      </c>
      <c r="D4" s="63">
        <v>4.5999999999999996</v>
      </c>
    </row>
    <row r="5" spans="2:4" ht="17.25" customHeight="1" x14ac:dyDescent="0.2">
      <c r="B5" s="62" t="s">
        <v>79</v>
      </c>
      <c r="C5" s="62">
        <v>6.7640000000000002</v>
      </c>
      <c r="D5" s="63">
        <v>5.75</v>
      </c>
    </row>
    <row r="6" spans="2:4" ht="17.25" customHeight="1" x14ac:dyDescent="0.2">
      <c r="B6" s="62" t="s">
        <v>48</v>
      </c>
      <c r="C6" s="64">
        <v>4.92</v>
      </c>
      <c r="D6" s="63">
        <v>11.7</v>
      </c>
    </row>
    <row r="7" spans="2:4" ht="17.25" customHeight="1" x14ac:dyDescent="0.2">
      <c r="B7" s="62" t="s">
        <v>49</v>
      </c>
      <c r="C7" s="62">
        <v>3.6890000000000001</v>
      </c>
      <c r="D7" s="63">
        <v>45.19</v>
      </c>
    </row>
    <row r="8" spans="2:4" ht="17.25" customHeight="1" x14ac:dyDescent="0.2">
      <c r="B8" s="62" t="s">
        <v>19</v>
      </c>
      <c r="C8" s="62">
        <v>3.6150000000000002</v>
      </c>
      <c r="D8" s="63">
        <v>252.42</v>
      </c>
    </row>
    <row r="9" spans="2:4" ht="17.25" customHeight="1" x14ac:dyDescent="0.2">
      <c r="B9" s="62" t="s">
        <v>18</v>
      </c>
      <c r="C9" s="62">
        <v>3.278</v>
      </c>
      <c r="D9" s="62">
        <v>0.65400000000000003</v>
      </c>
    </row>
    <row r="10" spans="2:4" ht="17.25" customHeight="1" x14ac:dyDescent="0.2">
      <c r="B10" s="62" t="s">
        <v>72</v>
      </c>
      <c r="C10" s="62">
        <v>3.0880000000000001</v>
      </c>
      <c r="D10" s="62">
        <v>0.60099999999999998</v>
      </c>
    </row>
  </sheetData>
  <mergeCells count="1">
    <mergeCell ref="B2:D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Taryfa PSG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2024-09-11T08:15:22Z</cp:lastPrinted>
  <dcterms:created xsi:type="dcterms:W3CDTF">2015-09-16T11:15:51Z</dcterms:created>
  <dcterms:modified xsi:type="dcterms:W3CDTF">2024-09-11T08:26:28Z</dcterms:modified>
</cp:coreProperties>
</file>