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plk048619\Desktop\Teresin\23.07.2023\"/>
    </mc:Choice>
  </mc:AlternateContent>
  <bookViews>
    <workbookView xWindow="-120" yWindow="-120" windowWidth="29040" windowHeight="15720" tabRatio="753" firstSheet="1" activeTab="1"/>
  </bookViews>
  <sheets>
    <sheet name="Tunel" sheetId="29" state="hidden" r:id="rId1"/>
    <sheet name="1.Perony i odtworzenie torów" sheetId="37" r:id="rId2"/>
  </sheets>
  <definedNames>
    <definedName name="_1._WSTĘP_4" localSheetId="0">Tunel!#REF!</definedName>
    <definedName name="_xlnm.Print_Area" localSheetId="1">'1.Perony i odtworzenie torów'!$A$1:$E$35</definedName>
    <definedName name="_xlnm.Print_Area" localSheetId="0">Tunel!$A$1:$G$66</definedName>
    <definedName name="_xlnm.Print_Titles" localSheetId="0">Tunel!$1:$3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37" l="1"/>
  <c r="J17" i="37"/>
  <c r="E6" i="37" l="1"/>
  <c r="E7" i="37"/>
  <c r="E12" i="37"/>
  <c r="E13" i="37"/>
  <c r="E14" i="37"/>
  <c r="E18" i="37"/>
  <c r="E26" i="37"/>
  <c r="E28" i="37"/>
  <c r="E29" i="37"/>
  <c r="E17" i="37" l="1"/>
  <c r="E10" i="29" l="1"/>
  <c r="E57" i="29"/>
  <c r="G57" i="29" s="1"/>
  <c r="E58" i="29"/>
  <c r="G58" i="29" s="1"/>
  <c r="E55" i="29"/>
  <c r="E53" i="29"/>
  <c r="F43" i="29"/>
  <c r="E47" i="29"/>
  <c r="E48" i="29" s="1"/>
  <c r="E39" i="29"/>
  <c r="E36" i="29"/>
  <c r="E33" i="29"/>
  <c r="E31" i="29"/>
  <c r="E27" i="29"/>
  <c r="E25" i="29"/>
  <c r="E18" i="29"/>
  <c r="E16" i="29"/>
  <c r="E15" i="29"/>
  <c r="E13" i="29"/>
  <c r="E12" i="29"/>
  <c r="E9" i="29"/>
  <c r="G6" i="29"/>
  <c r="G56" i="29" l="1"/>
  <c r="E29" i="29"/>
  <c r="F55" i="29"/>
  <c r="G43" i="29"/>
  <c r="G41" i="29" s="1"/>
  <c r="G40" i="29" s="1"/>
  <c r="G53" i="29"/>
  <c r="G52" i="29" s="1"/>
  <c r="G39" i="29"/>
  <c r="G38" i="29" s="1"/>
  <c r="G37" i="29" s="1"/>
  <c r="G10" i="29"/>
  <c r="G47" i="29"/>
  <c r="G46" i="29"/>
  <c r="G36" i="29"/>
  <c r="G34" i="29" s="1"/>
  <c r="G33" i="29"/>
  <c r="G13" i="29"/>
  <c r="G27" i="29"/>
  <c r="O16" i="29"/>
  <c r="O14" i="29"/>
  <c r="O15" i="29"/>
  <c r="K12" i="29"/>
  <c r="G31" i="29" s="1"/>
  <c r="J12" i="29"/>
  <c r="J10" i="29"/>
  <c r="K10" i="29"/>
  <c r="O11" i="29"/>
  <c r="K9" i="29"/>
  <c r="J9" i="29"/>
  <c r="K8" i="29"/>
  <c r="J8" i="29"/>
  <c r="K7" i="29"/>
  <c r="J7" i="29"/>
  <c r="L6" i="29"/>
  <c r="J6" i="29" s="1"/>
  <c r="L4" i="29"/>
  <c r="K4" i="29" s="1"/>
  <c r="L5" i="29"/>
  <c r="K5" i="29" s="1"/>
  <c r="O5" i="29"/>
  <c r="O6" i="29"/>
  <c r="O4" i="29"/>
  <c r="G18" i="29"/>
  <c r="G17" i="29" s="1"/>
  <c r="G15" i="29"/>
  <c r="G16" i="29"/>
  <c r="K2" i="29"/>
  <c r="G25" i="29" s="1"/>
  <c r="J2" i="29"/>
  <c r="O3" i="29"/>
  <c r="G12" i="29"/>
  <c r="G9" i="29"/>
  <c r="G62" i="29"/>
  <c r="G51" i="29"/>
  <c r="G50" i="29" s="1"/>
  <c r="F48" i="29"/>
  <c r="G64" i="29"/>
  <c r="G63" i="29"/>
  <c r="G5" i="29"/>
  <c r="G4" i="29" s="1"/>
  <c r="G60" i="29"/>
  <c r="G61" i="29"/>
  <c r="G55" i="29" l="1"/>
  <c r="G54" i="29" s="1"/>
  <c r="G48" i="29"/>
  <c r="G45" i="29" s="1"/>
  <c r="G44" i="29" s="1"/>
  <c r="G11" i="29"/>
  <c r="O12" i="29"/>
  <c r="O9" i="29"/>
  <c r="O8" i="29"/>
  <c r="G14" i="29"/>
  <c r="J5" i="29"/>
  <c r="K6" i="29"/>
  <c r="G29" i="29" s="1"/>
  <c r="J4" i="29"/>
  <c r="O7" i="29"/>
  <c r="O10" i="29"/>
  <c r="G59" i="29"/>
  <c r="O2" i="29"/>
  <c r="G8" i="29"/>
  <c r="G49" i="29" l="1"/>
  <c r="E21" i="29"/>
  <c r="G21" i="29" s="1"/>
  <c r="G20" i="29" s="1"/>
  <c r="G19" i="29" s="1"/>
  <c r="G7" i="29"/>
  <c r="G23" i="29"/>
  <c r="G22" i="29" s="1"/>
  <c r="G65" i="29" l="1"/>
</calcChain>
</file>

<file path=xl/sharedStrings.xml><?xml version="1.0" encoding="utf-8"?>
<sst xmlns="http://schemas.openxmlformats.org/spreadsheetml/2006/main" count="228" uniqueCount="155">
  <si>
    <t>Lp.</t>
  </si>
  <si>
    <t>ROBOTY PRZYGOTOWAWCZE</t>
  </si>
  <si>
    <t>FUNDAMENTOWANIE</t>
  </si>
  <si>
    <t>ZBROJENIE</t>
  </si>
  <si>
    <t>BETON</t>
  </si>
  <si>
    <t>ELEMENTY ZABEZPIECZAJĄCE</t>
  </si>
  <si>
    <t>KOSZTORYS INWESTORSKI</t>
  </si>
  <si>
    <t>Wyszczególnienie elementów rozliczeniowych</t>
  </si>
  <si>
    <t>Jedn.</t>
  </si>
  <si>
    <t>Ilość</t>
  </si>
  <si>
    <t>1</t>
  </si>
  <si>
    <t>3</t>
  </si>
  <si>
    <t>4</t>
  </si>
  <si>
    <t>5</t>
  </si>
  <si>
    <t>6</t>
  </si>
  <si>
    <t>7</t>
  </si>
  <si>
    <t>.</t>
  </si>
  <si>
    <t>Odtworzenie (wyznaczenie) trasy i punktów wysokościowych</t>
  </si>
  <si>
    <t>ryczałt</t>
  </si>
  <si>
    <t>m3</t>
  </si>
  <si>
    <t>szt</t>
  </si>
  <si>
    <t>Stal zbrojeniowa</t>
  </si>
  <si>
    <t>kg</t>
  </si>
  <si>
    <t>kpl</t>
  </si>
  <si>
    <t>Beton konstrukcyjny</t>
  </si>
  <si>
    <t>Beton niekonstrukcyjny</t>
  </si>
  <si>
    <t xml:space="preserve"> - klasy B15</t>
  </si>
  <si>
    <t>IZOLACJA I NAWIERZCHNIE</t>
  </si>
  <si>
    <t>Izolacja cienka</t>
  </si>
  <si>
    <t>m2</t>
  </si>
  <si>
    <t>m</t>
  </si>
  <si>
    <t>Elementy zabezpieczające obiektów mostowych</t>
  </si>
  <si>
    <t>Zabezpieczenie antykorozyjne powierzchni betonowych</t>
  </si>
  <si>
    <t xml:space="preserve"> - znaki wysokościowe na obiekcie</t>
  </si>
  <si>
    <t xml:space="preserve"> - stałe znaki wysokościowe w sąsiedztwie obiektu</t>
  </si>
  <si>
    <t>RAZEM:</t>
  </si>
  <si>
    <t xml:space="preserve">* ) Ceny jednostkowe i wartość robót należy podać w PLN z dokładnością do jednego grosza </t>
  </si>
  <si>
    <t xml:space="preserve"> - pozostałe powierzchnie odkryte</t>
  </si>
  <si>
    <t>komplet</t>
  </si>
  <si>
    <t>mb</t>
  </si>
  <si>
    <t>Cena jedn. NETTO [PLN] *)</t>
  </si>
  <si>
    <t>Wartość NETTO [PLN] *)</t>
  </si>
  <si>
    <t>Zamknięcia poszczególnych torów kolejowych na czas wykonania niezbędnych prac</t>
  </si>
  <si>
    <t>Kotwy chemiczne do montażu balustrady + żywica</t>
  </si>
  <si>
    <t>Wykopy w gruntach I-V kategorii</t>
  </si>
  <si>
    <t xml:space="preserve">Wykonanie ścianek z grodzic </t>
  </si>
  <si>
    <t>Beton klasy B25 i klas niższych w deskowaniu</t>
  </si>
  <si>
    <t>PREFABRYKATY BETONOWE</t>
  </si>
  <si>
    <t>Prefabrykaty betonowe</t>
  </si>
  <si>
    <t>Montaż prefabrykowanych desek gzymsowych</t>
  </si>
  <si>
    <t>Trzykrotne smarowanie powierzchni betonowych roztworem asfaltowym</t>
  </si>
  <si>
    <t>Punkty pomiarowo - kontrolne obiektach inżynierskich</t>
  </si>
  <si>
    <t xml:space="preserve"> INNE ROBOTY</t>
  </si>
  <si>
    <t>stal</t>
  </si>
  <si>
    <t>beton</t>
  </si>
  <si>
    <t xml:space="preserve">szt. </t>
  </si>
  <si>
    <t>Roboty ziemne pod fundamenty i dojścia do peronów</t>
  </si>
  <si>
    <t>Kontrolne badania geotechniczne (wiercenia + sondowania CPT)</t>
  </si>
  <si>
    <t>Odwodnienie liniowe</t>
  </si>
  <si>
    <t>Balustrada ze stali nierdzewnej</t>
  </si>
  <si>
    <t>Przygotowanie dokumentacji powykonawczej.</t>
  </si>
  <si>
    <t>płyta denna</t>
  </si>
  <si>
    <t>kl1</t>
  </si>
  <si>
    <t>kl2</t>
  </si>
  <si>
    <t>kl3</t>
  </si>
  <si>
    <t>kl4</t>
  </si>
  <si>
    <t>płyty przejsciowe</t>
  </si>
  <si>
    <t>gzyms1</t>
  </si>
  <si>
    <t>gzyms2</t>
  </si>
  <si>
    <t>gzyms3</t>
  </si>
  <si>
    <t>Głębienie wykopów szczelinowych ciągłych o szerokości 1 m wraz z ściankami prowadzącymi</t>
  </si>
  <si>
    <t>Głębienie wykopów szczelinowych ciągłych o szerokości 0.8 m wraz z ściankami prowadzącymi</t>
  </si>
  <si>
    <t>Wykonanie stref przejściowych z betonu C 30/37</t>
  </si>
  <si>
    <t>Wykonanie ścian szczelinowych</t>
  </si>
  <si>
    <t>Strefa przejściowa</t>
  </si>
  <si>
    <t>ściany szcze 100 C</t>
  </si>
  <si>
    <t>sciany szcze 100 A</t>
  </si>
  <si>
    <t>sciany szcze 80 B</t>
  </si>
  <si>
    <t>rampa row</t>
  </si>
  <si>
    <t>Zbrojenie betonu stalą klasy B500SP</t>
  </si>
  <si>
    <t xml:space="preserve"> - klasy C30/37</t>
  </si>
  <si>
    <t>Beton płyty stropowej</t>
  </si>
  <si>
    <t xml:space="preserve"> - klasy C35/45</t>
  </si>
  <si>
    <t>Beton płyty dennej</t>
  </si>
  <si>
    <t>Beton ściany szczelinowej</t>
  </si>
  <si>
    <t>Beton płyty przejściowej</t>
  </si>
  <si>
    <t xml:space="preserve">Beton gzymsów </t>
  </si>
  <si>
    <t>Wytyczenie obiektu</t>
  </si>
  <si>
    <t>Okładzina ścian szczelinowych wraz z podwaliną na stelażu mocowanym do ścian szczelinowych.</t>
  </si>
  <si>
    <t>Mechaniczne wykonanie zasypki rygla dolnego pod nawierzchnią drogową</t>
  </si>
  <si>
    <t xml:space="preserve"> - fundamenty</t>
  </si>
  <si>
    <t>Betonowe obrzeża</t>
  </si>
  <si>
    <t xml:space="preserve"> - betonowe obrzeża pod okładziny tunelu</t>
  </si>
  <si>
    <t>Drenaże</t>
  </si>
  <si>
    <t xml:space="preserve"> - drenaż płyty nośnej</t>
  </si>
  <si>
    <t xml:space="preserve"> - drenaż płyty dennej</t>
  </si>
  <si>
    <t>Obiekt Mostowy w Teresinie</t>
  </si>
  <si>
    <t>Wbijanie ścianek o ciężarze 600kg/m z terenu lub rusztowań na głęb. wbicia 16m, grunt kat. IV</t>
  </si>
  <si>
    <t>Wbijanie ścianek o ciężarze 600kg/m z terenu lub rusztowań na głęb. wbicia 10m, grunt kat. IV</t>
  </si>
  <si>
    <t>szt.</t>
  </si>
  <si>
    <t xml:space="preserve"> - korytka+kratka z montażem</t>
  </si>
  <si>
    <t>płyta str.</t>
  </si>
  <si>
    <t>Wykonanie peronu tymczasowego w Teresinie</t>
  </si>
  <si>
    <t>Demontaż peronu tymczasowego w Teresinie</t>
  </si>
  <si>
    <t>*) Kosztorys obliczono obmiarowo, zgodnie z zaleceniami Zamawiającego. Ilości prac i materiałów potrzebnych do wykonania zadania po stronie Wykonawcy.</t>
  </si>
  <si>
    <t>„Wykonanie dokumentacji projektowej na budowę skrzyżowania wielopoziomowego linii kolejowej z przejściem pod linią kolejową w km 41,740 linii kolejowej nr 3 Warszawa-Kunowice, w ciągu drogi powiatowej nr 3837W w Teresinie” 
z udziałem finansowym PKP Polskie Linie Kolejowe S.A. w ramach projektu inwestycyjnego POIiŚ 5.1-35 pn. „Poprawa bezpieczeństwa na skrzyżowaniach linii kolejowych z drogami - Etap III”</t>
  </si>
  <si>
    <t>a</t>
  </si>
  <si>
    <t>b</t>
  </si>
  <si>
    <t>c</t>
  </si>
  <si>
    <t>d</t>
  </si>
  <si>
    <t>e</t>
  </si>
  <si>
    <t xml:space="preserve">Ułozenie geowłókniny </t>
  </si>
  <si>
    <t>2.12</t>
  </si>
  <si>
    <t xml:space="preserve">Balastowanie tłuczniem torów na podkładach strunobetonowych na wcześniej przygotowanej półwarstwie gr. 23 cm z podbiciem toru przy użyciu zespołu maszyn </t>
  </si>
  <si>
    <t>2.11</t>
  </si>
  <si>
    <t>Ułożenie rozjazdów zwyczajnych wraz z wybudowaniem tłucznia</t>
  </si>
  <si>
    <t>2.10</t>
  </si>
  <si>
    <t>km</t>
  </si>
  <si>
    <t>Ułożenie torów z szyn 60 na podkłądach strunobetonowych PS-83, przymocowanie sprzężyste SB-3 przy pomocy podciągu układowego</t>
  </si>
  <si>
    <t>135,000</t>
  </si>
  <si>
    <t>Balastowanie torów przy użyciu ciężkich maszyn torowych, rozstaw normalny, pospółka, wagon samowyładowczy typu Hopper</t>
  </si>
  <si>
    <t>6,000</t>
  </si>
  <si>
    <t>spoina</t>
  </si>
  <si>
    <t>Spawanie szyn metodą termitową, przy użyciu form suchych</t>
  </si>
  <si>
    <t>2,000</t>
  </si>
  <si>
    <t>tor</t>
  </si>
  <si>
    <t>Układanie różnych elementów nawierzchni kolejowej, elementy końca odbojnic dwutorowych na moście</t>
  </si>
  <si>
    <t>170,000</t>
  </si>
  <si>
    <t>Układanie różnych elementów nawierzchni kolejowej, odbojnice szynowe</t>
  </si>
  <si>
    <t>kpl.</t>
  </si>
  <si>
    <t>Układanie różnych elementów nawierzchni kolejowej, przyrząd wyrównawczy na moście</t>
  </si>
  <si>
    <t>0,200</t>
  </si>
  <si>
    <t>Mechaniczne układanie toru bezstykowego na podkładach strunobetonowych przy wykorzystaniu żurawia kołowego, przymocowanie klasyczne, rozstaw podkładów 0,60 m</t>
  </si>
  <si>
    <t>Materiały nawierzchniowe dla toru bezstykowego, przytwierdzenie sprężyste SB-3, szyny S 49, podkłady strunobetonowe, 3.4.B/SB-3, 4.1.C/SB-3</t>
  </si>
  <si>
    <t>Warstwa ochronna z niesortu na  na obiekcie 55cm</t>
  </si>
  <si>
    <t>Mechaniczne wykonanie zagęszczonej warstwy tłucznia na gotowym podtorzu, tłuczeń dostarczony załadowanymi wagonami</t>
  </si>
  <si>
    <t>Budowa/ odtworzenie  toru</t>
  </si>
  <si>
    <t xml:space="preserve">Ułożenie w stosy podładów strunonbetonowych </t>
  </si>
  <si>
    <t>t</t>
  </si>
  <si>
    <t xml:space="preserve">Wywiezienie stalowej nawierzchni kolejowej, szyny i akcesoriów kolejowych </t>
  </si>
  <si>
    <t>49,43 kg/m</t>
  </si>
  <si>
    <t xml:space="preserve">Ułożenie w stosy szyn </t>
  </si>
  <si>
    <t xml:space="preserve">Wybiernie z podtorza podsypki na gr .35cm </t>
  </si>
  <si>
    <t xml:space="preserve">Rozbiórka rozjazdów kolejowych </t>
  </si>
  <si>
    <t xml:space="preserve">Demontaż  torów z szyn UIC60 na podkładach strunobetonowych </t>
  </si>
  <si>
    <t>Roboty rozbiórkowe</t>
  </si>
  <si>
    <t>Demontaż i montaż torów na czas budowy zgodnie z projektem PW TOM IV/2</t>
  </si>
  <si>
    <t>S-ST</t>
  </si>
  <si>
    <t>Peron tymczasowy w Teresinie ( NR RYS. Schemat etapowania)*</t>
  </si>
  <si>
    <t>STWiORB</t>
  </si>
  <si>
    <t>2.13</t>
  </si>
  <si>
    <t>PRZEDMIAR
ZAKRES PKP PLK S.A.
Prace związane z budwą peronu tymczaowego i odtworzeniem torów</t>
  </si>
  <si>
    <t>Modyfikacja certyfikacji i aktualizacja aplikacji - warstwa podstawowa</t>
  </si>
  <si>
    <t>opcja rozszerzenia przedmiotu zamówienia w trybie art. 441 ustawy Pzp</t>
  </si>
  <si>
    <t>Modyfikacja certyfikacji i aktualizacja aplikacji - w zakresie wyłącznia urzadzeń przejazdowych ze sterowanie z LCS i z aplikacji RBC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</si>
</sst>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8"/>
      <name val="MS Sans Serif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charset val="238"/>
    </font>
    <font>
      <sz val="10"/>
      <color rgb="FF000000"/>
      <name val="PL Times New Roman"/>
      <charset val="238"/>
    </font>
    <font>
      <i/>
      <sz val="10"/>
      <color rgb="FF000000"/>
      <name val="Arial"/>
      <family val="2"/>
      <charset val="238"/>
    </font>
    <font>
      <sz val="10"/>
      <color rgb="FF000000"/>
      <name val="MS Sans Serif"/>
      <charset val="238"/>
    </font>
    <font>
      <b/>
      <sz val="10"/>
      <color rgb="FF000000"/>
      <name val="Arial CE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0"/>
      <color rgb="FF000000"/>
      <name val="Arial CE"/>
      <charset val="238"/>
    </font>
    <font>
      <sz val="10"/>
      <color theme="0"/>
      <name val="MS Sans Serif"/>
      <charset val="238"/>
    </font>
    <font>
      <sz val="8"/>
      <color theme="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MS Sans Serif"/>
      <charset val="238"/>
    </font>
    <font>
      <b/>
      <sz val="11"/>
      <color rgb="FFFF0000"/>
      <name val="Arial"/>
      <family val="2"/>
      <charset val="238"/>
    </font>
    <font>
      <sz val="10"/>
      <color rgb="FFFF0000"/>
      <name val="Arial CE"/>
      <family val="2"/>
      <charset val="238"/>
    </font>
    <font>
      <b/>
      <sz val="10"/>
      <color rgb="FFFF0000"/>
      <name val="Arial CE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rgb="FFD6DCE4"/>
      </patternFill>
    </fill>
    <fill>
      <patternFill patternType="solid">
        <fgColor rgb="FFF8CBAD"/>
        <bgColor rgb="FFF8CBAD"/>
      </patternFill>
    </fill>
    <fill>
      <patternFill patternType="solid">
        <fgColor rgb="FFFCE4D6"/>
        <bgColor rgb="FFFCE4D6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9" fillId="0" borderId="0" applyNumberFormat="0" applyFill="0" applyBorder="0" applyAlignment="0" applyProtection="0"/>
    <xf numFmtId="0" fontId="11" fillId="0" borderId="0" applyNumberFormat="0" applyBorder="0" applyProtection="0"/>
    <xf numFmtId="0" fontId="1" fillId="0" borderId="0"/>
    <xf numFmtId="0" fontId="17" fillId="0" borderId="0" applyNumberFormat="0" applyBorder="0" applyProtection="0"/>
  </cellStyleXfs>
  <cellXfs count="121">
    <xf numFmtId="0" fontId="0" fillId="0" borderId="0" xfId="0"/>
    <xf numFmtId="0" fontId="6" fillId="3" borderId="1" xfId="0" applyFont="1" applyFill="1" applyBorder="1" applyAlignment="1">
      <alignment horizontal="right" vertical="top"/>
    </xf>
    <xf numFmtId="4" fontId="6" fillId="3" borderId="1" xfId="0" applyNumberFormat="1" applyFont="1" applyFill="1" applyBorder="1" applyAlignment="1">
      <alignment horizontal="center" wrapText="1"/>
    </xf>
    <xf numFmtId="4" fontId="6" fillId="3" borderId="1" xfId="0" applyNumberFormat="1" applyFont="1" applyFill="1" applyBorder="1" applyAlignment="1">
      <alignment horizontal="right"/>
    </xf>
    <xf numFmtId="4" fontId="6" fillId="3" borderId="1" xfId="0" quotePrefix="1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right" vertical="top"/>
    </xf>
    <xf numFmtId="0" fontId="5" fillId="4" borderId="0" xfId="0" applyFont="1" applyFill="1" applyAlignment="1">
      <alignment horizontal="left"/>
    </xf>
    <xf numFmtId="0" fontId="6" fillId="2" borderId="1" xfId="0" applyFont="1" applyFill="1" applyBorder="1" applyAlignment="1">
      <alignment horizontal="right" vertical="top"/>
    </xf>
    <xf numFmtId="0" fontId="0" fillId="5" borderId="0" xfId="0" applyFill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6" fillId="4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6" fillId="6" borderId="1" xfId="0" applyFont="1" applyFill="1" applyBorder="1" applyAlignment="1">
      <alignment horizontal="right" vertical="top"/>
    </xf>
    <xf numFmtId="0" fontId="6" fillId="6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5" fillId="2" borderId="1" xfId="0" quotePrefix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 wrapText="1"/>
    </xf>
    <xf numFmtId="0" fontId="4" fillId="2" borderId="1" xfId="0" quotePrefix="1" applyFont="1" applyFill="1" applyBorder="1" applyAlignment="1">
      <alignment horizont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quotePrefix="1" applyFont="1" applyFill="1" applyBorder="1" applyAlignment="1">
      <alignment horizontal="center"/>
    </xf>
    <xf numFmtId="4" fontId="6" fillId="0" borderId="1" xfId="0" applyNumberFormat="1" applyFont="1" applyBorder="1" applyAlignment="1">
      <alignment horizontal="right"/>
    </xf>
    <xf numFmtId="0" fontId="6" fillId="3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right" vertical="top"/>
    </xf>
    <xf numFmtId="0" fontId="4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0" fillId="0" borderId="1" xfId="0" applyBorder="1"/>
    <xf numFmtId="0" fontId="6" fillId="7" borderId="1" xfId="0" applyFont="1" applyFill="1" applyBorder="1" applyAlignment="1">
      <alignment horizontal="right" vertical="top"/>
    </xf>
    <xf numFmtId="0" fontId="4" fillId="7" borderId="1" xfId="0" applyFont="1" applyFill="1" applyBorder="1" applyAlignment="1">
      <alignment horizontal="left" vertical="center" wrapText="1"/>
    </xf>
    <xf numFmtId="0" fontId="4" fillId="7" borderId="1" xfId="0" quotePrefix="1" applyFont="1" applyFill="1" applyBorder="1" applyAlignment="1">
      <alignment horizontal="center"/>
    </xf>
    <xf numFmtId="0" fontId="6" fillId="5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6" borderId="1" xfId="0" quotePrefix="1" applyFont="1" applyFill="1" applyBorder="1" applyAlignment="1">
      <alignment horizontal="center"/>
    </xf>
    <xf numFmtId="0" fontId="6" fillId="0" borderId="4" xfId="0" quotePrefix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0" fontId="6" fillId="5" borderId="1" xfId="0" applyFont="1" applyFill="1" applyBorder="1" applyAlignment="1">
      <alignment horizontal="right" vertical="center"/>
    </xf>
    <xf numFmtId="0" fontId="6" fillId="7" borderId="1" xfId="0" applyFont="1" applyFill="1" applyBorder="1" applyAlignment="1">
      <alignment horizontal="right" vertical="center"/>
    </xf>
    <xf numFmtId="0" fontId="6" fillId="6" borderId="1" xfId="0" applyFont="1" applyFill="1" applyBorder="1" applyAlignment="1">
      <alignment horizontal="right" vertical="center"/>
    </xf>
    <xf numFmtId="0" fontId="6" fillId="6" borderId="1" xfId="0" applyFont="1" applyFill="1" applyBorder="1" applyAlignment="1">
      <alignment horizontal="right" vertical="center" wrapText="1"/>
    </xf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4" fontId="6" fillId="0" borderId="4" xfId="0" quotePrefix="1" applyNumberFormat="1" applyFont="1" applyBorder="1" applyAlignment="1">
      <alignment horizontal="center" vertical="center"/>
    </xf>
    <xf numFmtId="4" fontId="5" fillId="2" borderId="1" xfId="0" quotePrefix="1" applyNumberFormat="1" applyFont="1" applyFill="1" applyBorder="1" applyAlignment="1">
      <alignment horizontal="right"/>
    </xf>
    <xf numFmtId="4" fontId="4" fillId="2" borderId="1" xfId="0" quotePrefix="1" applyNumberFormat="1" applyFont="1" applyFill="1" applyBorder="1" applyAlignment="1">
      <alignment horizontal="right"/>
    </xf>
    <xf numFmtId="4" fontId="6" fillId="5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/>
    </xf>
    <xf numFmtId="4" fontId="0" fillId="0" borderId="1" xfId="0" applyNumberFormat="1" applyBorder="1"/>
    <xf numFmtId="4" fontId="0" fillId="0" borderId="0" xfId="0" applyNumberFormat="1"/>
    <xf numFmtId="4" fontId="6" fillId="6" borderId="1" xfId="0" applyNumberFormat="1" applyFont="1" applyFill="1" applyBorder="1" applyAlignment="1">
      <alignment horizontal="right"/>
    </xf>
    <xf numFmtId="4" fontId="6" fillId="5" borderId="1" xfId="0" quotePrefix="1" applyNumberFormat="1" applyFont="1" applyFill="1" applyBorder="1" applyAlignment="1">
      <alignment horizontal="right"/>
    </xf>
    <xf numFmtId="4" fontId="4" fillId="7" borderId="1" xfId="0" quotePrefix="1" applyNumberFormat="1" applyFont="1" applyFill="1" applyBorder="1" applyAlignment="1">
      <alignment horizontal="right"/>
    </xf>
    <xf numFmtId="4" fontId="6" fillId="6" borderId="1" xfId="0" quotePrefix="1" applyNumberFormat="1" applyFont="1" applyFill="1" applyBorder="1" applyAlignment="1">
      <alignment horizontal="right"/>
    </xf>
    <xf numFmtId="4" fontId="7" fillId="0" borderId="1" xfId="0" applyNumberFormat="1" applyFont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right" vertical="center" wrapText="1"/>
    </xf>
    <xf numFmtId="0" fontId="6" fillId="0" borderId="4" xfId="0" quotePrefix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left" vertical="center" wrapText="1"/>
    </xf>
    <xf numFmtId="0" fontId="13" fillId="0" borderId="12" xfId="0" quotePrefix="1" applyFont="1" applyBorder="1" applyAlignment="1">
      <alignment horizontal="center" vertical="center"/>
    </xf>
    <xf numFmtId="0" fontId="13" fillId="0" borderId="4" xfId="0" quotePrefix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horizontal="right" vertical="top"/>
    </xf>
    <xf numFmtId="0" fontId="5" fillId="2" borderId="1" xfId="0" quotePrefix="1" applyFont="1" applyFill="1" applyBorder="1" applyAlignment="1">
      <alignment horizontal="center"/>
    </xf>
    <xf numFmtId="49" fontId="16" fillId="8" borderId="1" xfId="0" applyNumberFormat="1" applyFont="1" applyFill="1" applyBorder="1" applyAlignment="1">
      <alignment horizontal="center" vertical="center"/>
    </xf>
    <xf numFmtId="0" fontId="5" fillId="6" borderId="1" xfId="0" quotePrefix="1" applyFont="1" applyFill="1" applyBorder="1" applyAlignment="1">
      <alignment horizontal="center"/>
    </xf>
    <xf numFmtId="0" fontId="4" fillId="6" borderId="1" xfId="0" applyFont="1" applyFill="1" applyBorder="1" applyAlignment="1">
      <alignment horizontal="left" vertical="center" wrapText="1"/>
    </xf>
    <xf numFmtId="0" fontId="15" fillId="6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6" borderId="1" xfId="0" applyFont="1" applyFill="1" applyBorder="1" applyAlignment="1">
      <alignment horizontal="left" vertical="center"/>
    </xf>
    <xf numFmtId="0" fontId="12" fillId="11" borderId="1" xfId="2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right" vertical="top"/>
    </xf>
    <xf numFmtId="0" fontId="4" fillId="6" borderId="13" xfId="0" applyFont="1" applyFill="1" applyBorder="1" applyAlignment="1">
      <alignment horizontal="right" vertical="top"/>
    </xf>
    <xf numFmtId="49" fontId="16" fillId="8" borderId="13" xfId="0" applyNumberFormat="1" applyFont="1" applyFill="1" applyBorder="1" applyAlignment="1">
      <alignment horizontal="center" vertical="center"/>
    </xf>
    <xf numFmtId="49" fontId="4" fillId="0" borderId="13" xfId="0" applyNumberFormat="1" applyFont="1" applyBorder="1" applyAlignment="1">
      <alignment horizontal="right" vertical="top"/>
    </xf>
    <xf numFmtId="0" fontId="12" fillId="11" borderId="13" xfId="2" applyFont="1" applyFill="1" applyBorder="1" applyAlignment="1">
      <alignment horizontal="center" vertical="center" wrapText="1"/>
    </xf>
    <xf numFmtId="0" fontId="12" fillId="11" borderId="18" xfId="2" applyFont="1" applyFill="1" applyBorder="1" applyAlignment="1">
      <alignment horizontal="center" vertical="center" wrapText="1"/>
    </xf>
    <xf numFmtId="3" fontId="13" fillId="0" borderId="19" xfId="0" quotePrefix="1" applyNumberFormat="1" applyFont="1" applyBorder="1" applyAlignment="1">
      <alignment horizontal="center" vertical="center"/>
    </xf>
    <xf numFmtId="4" fontId="5" fillId="6" borderId="18" xfId="0" quotePrefix="1" applyNumberFormat="1" applyFont="1" applyFill="1" applyBorder="1" applyAlignment="1">
      <alignment horizontal="right"/>
    </xf>
    <xf numFmtId="4" fontId="5" fillId="0" borderId="18" xfId="0" applyNumberFormat="1" applyFont="1" applyBorder="1" applyAlignment="1">
      <alignment horizontal="right"/>
    </xf>
    <xf numFmtId="4" fontId="5" fillId="2" borderId="18" xfId="0" quotePrefix="1" applyNumberFormat="1" applyFont="1" applyFill="1" applyBorder="1" applyAlignment="1">
      <alignment horizontal="right"/>
    </xf>
    <xf numFmtId="2" fontId="5" fillId="0" borderId="18" xfId="0" applyNumberFormat="1" applyFont="1" applyBorder="1" applyAlignment="1">
      <alignment horizontal="right"/>
    </xf>
    <xf numFmtId="0" fontId="0" fillId="0" borderId="10" xfId="0" applyBorder="1"/>
    <xf numFmtId="0" fontId="18" fillId="0" borderId="0" xfId="0" applyFont="1"/>
    <xf numFmtId="0" fontId="19" fillId="0" borderId="0" xfId="0" applyFont="1"/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0" fillId="9" borderId="14" xfId="1" applyFont="1" applyFill="1" applyBorder="1" applyAlignment="1">
      <alignment horizontal="center" vertical="top" wrapText="1"/>
    </xf>
    <xf numFmtId="0" fontId="10" fillId="9" borderId="15" xfId="1" applyFont="1" applyFill="1" applyBorder="1" applyAlignment="1">
      <alignment horizontal="center" vertical="top" wrapText="1"/>
    </xf>
    <xf numFmtId="0" fontId="10" fillId="9" borderId="16" xfId="1" applyFont="1" applyFill="1" applyBorder="1" applyAlignment="1">
      <alignment horizontal="center" vertical="top" wrapText="1"/>
    </xf>
    <xf numFmtId="0" fontId="10" fillId="10" borderId="20" xfId="1" applyFont="1" applyFill="1" applyBorder="1" applyAlignment="1">
      <alignment horizontal="center" vertical="top" wrapText="1"/>
    </xf>
    <xf numFmtId="0" fontId="10" fillId="10" borderId="11" xfId="1" applyFont="1" applyFill="1" applyBorder="1" applyAlignment="1">
      <alignment horizontal="center" vertical="top" wrapText="1"/>
    </xf>
    <xf numFmtId="0" fontId="10" fillId="10" borderId="17" xfId="1" applyFont="1" applyFill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right" vertical="top"/>
    </xf>
    <xf numFmtId="0" fontId="15" fillId="0" borderId="22" xfId="0" applyFont="1" applyBorder="1" applyAlignment="1">
      <alignment horizontal="right" vertical="top"/>
    </xf>
    <xf numFmtId="49" fontId="14" fillId="0" borderId="22" xfId="0" applyNumberFormat="1" applyFont="1" applyBorder="1" applyAlignment="1">
      <alignment horizontal="left" vertical="center" wrapText="1"/>
    </xf>
    <xf numFmtId="49" fontId="14" fillId="0" borderId="22" xfId="0" applyNumberFormat="1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right"/>
    </xf>
    <xf numFmtId="0" fontId="21" fillId="0" borderId="1" xfId="0" applyFont="1" applyBorder="1"/>
    <xf numFmtId="0" fontId="22" fillId="0" borderId="1" xfId="0" applyFont="1" applyBorder="1"/>
    <xf numFmtId="0" fontId="23" fillId="4" borderId="1" xfId="0" applyFont="1" applyFill="1" applyBorder="1" applyAlignment="1">
      <alignment horizontal="left" vertical="top" wrapText="1"/>
    </xf>
    <xf numFmtId="49" fontId="24" fillId="0" borderId="1" xfId="0" applyNumberFormat="1" applyFont="1" applyBorder="1" applyAlignment="1">
      <alignment horizontal="right" vertical="top"/>
    </xf>
    <xf numFmtId="2" fontId="23" fillId="0" borderId="1" xfId="0" applyNumberFormat="1" applyFont="1" applyBorder="1" applyAlignment="1">
      <alignment horizontal="right"/>
    </xf>
    <xf numFmtId="0" fontId="21" fillId="0" borderId="1" xfId="0" applyFont="1" applyBorder="1" applyAlignment="1">
      <alignment wrapText="1"/>
    </xf>
    <xf numFmtId="49" fontId="20" fillId="0" borderId="1" xfId="0" applyNumberFormat="1" applyFont="1" applyBorder="1" applyAlignment="1">
      <alignment horizontal="center" vertical="center"/>
    </xf>
  </cellXfs>
  <cellStyles count="5">
    <cellStyle name="Normalny" xfId="0" builtinId="0"/>
    <cellStyle name="Normalny 2" xfId="3"/>
    <cellStyle name="Normalny 3" xfId="4"/>
    <cellStyle name="Normalny 4" xfId="2"/>
    <cellStyle name="Normalny_A_1 2" xfId="1"/>
  </cellStyles>
  <dxfs count="0"/>
  <tableStyles count="0" defaultTableStyle="TableStyleMedium2" defaultPivotStyle="PivotStyleLight16"/>
  <colors>
    <mruColors>
      <color rgb="FFFEF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6"/>
  <sheetViews>
    <sheetView view="pageBreakPreview" zoomScaleNormal="100" zoomScaleSheetLayoutView="100" workbookViewId="0"/>
  </sheetViews>
  <sheetFormatPr defaultRowHeight="13"/>
  <cols>
    <col min="1" max="1" width="4.1796875" style="71" customWidth="1"/>
    <col min="2" max="2" width="17.453125" customWidth="1"/>
    <col min="3" max="3" width="53.453125" customWidth="1"/>
    <col min="4" max="4" width="13.1796875" customWidth="1"/>
    <col min="5" max="5" width="10.54296875" style="62" customWidth="1"/>
    <col min="6" max="6" width="12.7265625" style="62" customWidth="1"/>
    <col min="7" max="7" width="15.7265625" style="62" customWidth="1"/>
    <col min="9" max="9" width="19.81640625" customWidth="1"/>
    <col min="10" max="10" width="10.7265625" bestFit="1" customWidth="1"/>
    <col min="11" max="11" width="9.26953125" bestFit="1" customWidth="1"/>
    <col min="14" max="14" width="9.7265625" bestFit="1" customWidth="1"/>
  </cols>
  <sheetData>
    <row r="1" spans="1:15" ht="21.75" customHeight="1">
      <c r="A1" s="13" t="s">
        <v>6</v>
      </c>
      <c r="B1" s="15"/>
      <c r="C1" s="14"/>
      <c r="D1" s="101" t="s">
        <v>96</v>
      </c>
      <c r="E1" s="101"/>
      <c r="F1" s="101"/>
      <c r="G1" s="102"/>
      <c r="J1" s="52" t="s">
        <v>53</v>
      </c>
      <c r="K1" s="52" t="s">
        <v>54</v>
      </c>
      <c r="L1" s="52" t="s">
        <v>39</v>
      </c>
      <c r="M1" s="52" t="s">
        <v>53</v>
      </c>
      <c r="N1" s="52" t="s">
        <v>54</v>
      </c>
    </row>
    <row r="2" spans="1:15" ht="27" customHeight="1" thickBot="1">
      <c r="A2" s="69" t="s">
        <v>0</v>
      </c>
      <c r="B2" s="40"/>
      <c r="C2" s="40" t="s">
        <v>7</v>
      </c>
      <c r="D2" s="40" t="s">
        <v>8</v>
      </c>
      <c r="E2" s="41" t="s">
        <v>9</v>
      </c>
      <c r="F2" s="41" t="s">
        <v>40</v>
      </c>
      <c r="G2" s="42" t="s">
        <v>41</v>
      </c>
      <c r="I2" t="s">
        <v>101</v>
      </c>
      <c r="J2" s="51">
        <f>33055+60970+47914+68396+45718+72451</f>
        <v>328504</v>
      </c>
      <c r="K2" s="51">
        <f>85.4+234.78+199.4+288.6+192.55+306.3</f>
        <v>1307.03</v>
      </c>
      <c r="O2" s="51">
        <f>J2/K2</f>
        <v>251.33623558755346</v>
      </c>
    </row>
    <row r="3" spans="1:15" ht="13" customHeight="1">
      <c r="A3" s="70" t="s">
        <v>10</v>
      </c>
      <c r="B3" s="39">
        <v>2</v>
      </c>
      <c r="C3" s="39" t="s">
        <v>11</v>
      </c>
      <c r="D3" s="39" t="s">
        <v>12</v>
      </c>
      <c r="E3" s="56" t="s">
        <v>13</v>
      </c>
      <c r="F3" s="56" t="s">
        <v>14</v>
      </c>
      <c r="G3" s="56" t="s">
        <v>15</v>
      </c>
      <c r="I3" t="s">
        <v>61</v>
      </c>
      <c r="J3" s="55">
        <v>796266</v>
      </c>
      <c r="K3" s="55">
        <v>2759.7</v>
      </c>
      <c r="N3" s="54"/>
      <c r="O3" s="55">
        <f>J3/K3</f>
        <v>288.53353625394067</v>
      </c>
    </row>
    <row r="4" spans="1:15" ht="13" customHeight="1">
      <c r="A4" s="7" t="s">
        <v>16</v>
      </c>
      <c r="B4" s="45"/>
      <c r="C4" s="21" t="s">
        <v>1</v>
      </c>
      <c r="D4" s="22"/>
      <c r="E4" s="57"/>
      <c r="F4" s="57"/>
      <c r="G4" s="58">
        <f>G5</f>
        <v>81200</v>
      </c>
      <c r="I4" s="53" t="s">
        <v>75</v>
      </c>
      <c r="J4" s="55">
        <f>L4/3*M4</f>
        <v>486200</v>
      </c>
      <c r="K4" s="55">
        <f>L4/3*N4</f>
        <v>3889.5999999999995</v>
      </c>
      <c r="L4">
        <f>68+7+68</f>
        <v>143</v>
      </c>
      <c r="M4" s="55">
        <v>10200</v>
      </c>
      <c r="N4" s="55">
        <v>81.599999999999994</v>
      </c>
      <c r="O4" s="55">
        <f>M4/N4</f>
        <v>125.00000000000001</v>
      </c>
    </row>
    <row r="5" spans="1:15" ht="16.5" customHeight="1">
      <c r="A5" s="1" t="s">
        <v>16</v>
      </c>
      <c r="B5" s="44"/>
      <c r="C5" s="23" t="s">
        <v>17</v>
      </c>
      <c r="D5" s="2"/>
      <c r="E5" s="3"/>
      <c r="F5" s="3"/>
      <c r="G5" s="3">
        <f>G6</f>
        <v>81200</v>
      </c>
      <c r="I5" s="53" t="s">
        <v>77</v>
      </c>
      <c r="J5" s="55">
        <f>L5/3*M5</f>
        <v>223108</v>
      </c>
      <c r="K5" s="55">
        <f>L5/3*N5</f>
        <v>1496</v>
      </c>
      <c r="L5">
        <f>35+33</f>
        <v>68</v>
      </c>
      <c r="M5" s="55">
        <v>9843</v>
      </c>
      <c r="N5" s="55">
        <v>66</v>
      </c>
      <c r="O5" s="55">
        <f>M5/N5</f>
        <v>149.13636363636363</v>
      </c>
    </row>
    <row r="6" spans="1:15" ht="13" customHeight="1">
      <c r="A6" s="5">
        <v>1</v>
      </c>
      <c r="B6" s="43"/>
      <c r="C6" s="12" t="s">
        <v>87</v>
      </c>
      <c r="D6" s="10" t="s">
        <v>38</v>
      </c>
      <c r="E6" s="27">
        <v>1</v>
      </c>
      <c r="F6" s="27" t="s">
        <v>18</v>
      </c>
      <c r="G6" s="27">
        <f>2320*35</f>
        <v>81200</v>
      </c>
      <c r="I6" s="53" t="s">
        <v>76</v>
      </c>
      <c r="J6" s="55">
        <f>L6/3*M6</f>
        <v>2028511.3333333335</v>
      </c>
      <c r="K6" s="55">
        <f>L6/3*N6</f>
        <v>10254.4</v>
      </c>
      <c r="L6">
        <f>(180-68)+92+45+3*29+25+16</f>
        <v>377</v>
      </c>
      <c r="M6" s="55">
        <v>16142</v>
      </c>
      <c r="N6" s="55">
        <v>81.599999999999994</v>
      </c>
      <c r="O6" s="55">
        <f>M6/N6</f>
        <v>197.81862745098042</v>
      </c>
    </row>
    <row r="7" spans="1:15" ht="13" customHeight="1">
      <c r="A7" s="7" t="s">
        <v>16</v>
      </c>
      <c r="B7" s="45"/>
      <c r="C7" s="21" t="s">
        <v>2</v>
      </c>
      <c r="D7" s="24"/>
      <c r="E7" s="58"/>
      <c r="F7" s="58"/>
      <c r="G7" s="58">
        <f>G8+G11+G14+G17</f>
        <v>2726565</v>
      </c>
      <c r="I7" t="s">
        <v>62</v>
      </c>
      <c r="J7" s="51">
        <f>13228.1+9048.7</f>
        <v>22276.800000000003</v>
      </c>
      <c r="K7" s="51">
        <f>43.5+25</f>
        <v>68.5</v>
      </c>
      <c r="O7" s="55">
        <f t="shared" ref="O7:O12" si="0">J7/K7</f>
        <v>325.20875912408763</v>
      </c>
    </row>
    <row r="8" spans="1:15" ht="13" customHeight="1">
      <c r="A8" s="1" t="s">
        <v>16</v>
      </c>
      <c r="B8" s="44"/>
      <c r="C8" s="25" t="s">
        <v>56</v>
      </c>
      <c r="D8" s="26"/>
      <c r="E8" s="4"/>
      <c r="F8" s="4"/>
      <c r="G8" s="4">
        <f>SUM(G9:G10)</f>
        <v>1385650</v>
      </c>
      <c r="I8" t="s">
        <v>63</v>
      </c>
      <c r="J8" s="51">
        <f>16682+10183.7</f>
        <v>26865.7</v>
      </c>
      <c r="K8" s="51">
        <f>56.85+28</f>
        <v>84.85</v>
      </c>
      <c r="O8" s="55">
        <f t="shared" si="0"/>
        <v>316.62581025338835</v>
      </c>
    </row>
    <row r="9" spans="1:15" ht="13" customHeight="1">
      <c r="A9" s="5">
        <v>2</v>
      </c>
      <c r="B9" s="43"/>
      <c r="C9" s="12" t="s">
        <v>44</v>
      </c>
      <c r="D9" s="10" t="s">
        <v>19</v>
      </c>
      <c r="E9" s="27">
        <f>1080*14.8</f>
        <v>15984</v>
      </c>
      <c r="F9" s="27">
        <v>50</v>
      </c>
      <c r="G9" s="27">
        <f>E9*F9</f>
        <v>799200</v>
      </c>
      <c r="I9" t="s">
        <v>64</v>
      </c>
      <c r="J9" s="51">
        <f>9532.5+10343.3</f>
        <v>19875.8</v>
      </c>
      <c r="K9" s="51">
        <f>35.1+28</f>
        <v>63.1</v>
      </c>
      <c r="O9" s="55">
        <f t="shared" si="0"/>
        <v>314.98890649762279</v>
      </c>
    </row>
    <row r="10" spans="1:15" ht="21.75" customHeight="1">
      <c r="A10" s="5">
        <v>3</v>
      </c>
      <c r="B10" s="43"/>
      <c r="C10" s="12" t="s">
        <v>89</v>
      </c>
      <c r="D10" s="10" t="s">
        <v>19</v>
      </c>
      <c r="E10" s="27">
        <f>500*14.8</f>
        <v>7400</v>
      </c>
      <c r="F10" s="27">
        <v>79.25</v>
      </c>
      <c r="G10" s="27">
        <f>E10*F10</f>
        <v>586450</v>
      </c>
      <c r="I10" t="s">
        <v>65</v>
      </c>
      <c r="J10" s="51">
        <f>16644+10186.1</f>
        <v>26830.1</v>
      </c>
      <c r="K10" s="51">
        <f>56.85+28</f>
        <v>84.85</v>
      </c>
      <c r="O10" s="55">
        <f t="shared" si="0"/>
        <v>316.20624631703004</v>
      </c>
    </row>
    <row r="11" spans="1:15" ht="13" customHeight="1">
      <c r="A11" s="1" t="s">
        <v>16</v>
      </c>
      <c r="B11" s="44"/>
      <c r="C11" s="28" t="s">
        <v>45</v>
      </c>
      <c r="D11" s="26"/>
      <c r="E11" s="4"/>
      <c r="F11" s="4"/>
      <c r="G11" s="4">
        <f>SUM(G12:G13)</f>
        <v>1010938.2</v>
      </c>
      <c r="I11" t="s">
        <v>78</v>
      </c>
      <c r="J11" s="51">
        <v>22768.3</v>
      </c>
      <c r="K11" s="51">
        <v>71.900000000000006</v>
      </c>
      <c r="O11" s="55">
        <f t="shared" si="0"/>
        <v>316.66620305980524</v>
      </c>
    </row>
    <row r="12" spans="1:15" ht="25" customHeight="1">
      <c r="A12" s="29">
        <v>4</v>
      </c>
      <c r="B12" s="46"/>
      <c r="C12" s="19" t="s">
        <v>97</v>
      </c>
      <c r="D12" s="20" t="s">
        <v>29</v>
      </c>
      <c r="E12" s="59">
        <f>39*16</f>
        <v>624</v>
      </c>
      <c r="F12" s="27">
        <v>1377.3</v>
      </c>
      <c r="G12" s="59">
        <f>E12*F12</f>
        <v>859435.2</v>
      </c>
      <c r="I12" t="s">
        <v>66</v>
      </c>
      <c r="J12" s="51">
        <f>4*4968+2*2630</f>
        <v>25132</v>
      </c>
      <c r="K12" s="51">
        <f>4*38.4+2*22.1</f>
        <v>197.8</v>
      </c>
      <c r="O12" s="55">
        <f t="shared" si="0"/>
        <v>127.05763397371081</v>
      </c>
    </row>
    <row r="13" spans="1:15" ht="25" customHeight="1">
      <c r="A13" s="29">
        <v>5</v>
      </c>
      <c r="B13" s="46"/>
      <c r="C13" s="19" t="s">
        <v>98</v>
      </c>
      <c r="D13" s="20" t="s">
        <v>29</v>
      </c>
      <c r="E13" s="59">
        <f>11*10</f>
        <v>110</v>
      </c>
      <c r="F13" s="27">
        <v>1377.3</v>
      </c>
      <c r="G13" s="59">
        <f>E13*F13</f>
        <v>151503</v>
      </c>
      <c r="J13" s="51"/>
      <c r="K13" s="51"/>
      <c r="O13" s="55"/>
    </row>
    <row r="14" spans="1:15" ht="13" customHeight="1">
      <c r="A14" s="1" t="s">
        <v>16</v>
      </c>
      <c r="B14" s="44"/>
      <c r="C14" s="28" t="s">
        <v>73</v>
      </c>
      <c r="D14" s="26"/>
      <c r="E14" s="4"/>
      <c r="F14" s="4"/>
      <c r="G14" s="4">
        <f>SUM(G15:G16)</f>
        <v>91976.8</v>
      </c>
      <c r="I14" t="s">
        <v>67</v>
      </c>
      <c r="J14" s="51">
        <v>22443</v>
      </c>
      <c r="K14" s="51">
        <v>99.4</v>
      </c>
      <c r="O14" s="55">
        <f>J14/K14</f>
        <v>225.78470824949696</v>
      </c>
    </row>
    <row r="15" spans="1:15" ht="25" customHeight="1">
      <c r="A15" s="29">
        <v>6</v>
      </c>
      <c r="B15" s="46"/>
      <c r="C15" s="19" t="s">
        <v>70</v>
      </c>
      <c r="D15" s="10" t="s">
        <v>19</v>
      </c>
      <c r="E15" s="59">
        <f>2010*2+30*3*4+78*3*2</f>
        <v>4848</v>
      </c>
      <c r="F15" s="27">
        <v>17</v>
      </c>
      <c r="G15" s="59">
        <f t="shared" ref="G15:G16" si="1">E15*F15</f>
        <v>82416</v>
      </c>
      <c r="I15" t="s">
        <v>68</v>
      </c>
      <c r="J15" s="51">
        <v>743</v>
      </c>
      <c r="K15" s="51">
        <v>4.8</v>
      </c>
      <c r="O15" s="55">
        <f>J15/K15</f>
        <v>154.79166666666669</v>
      </c>
    </row>
    <row r="16" spans="1:15" ht="25" customHeight="1">
      <c r="A16" s="29">
        <v>7</v>
      </c>
      <c r="B16" s="46"/>
      <c r="C16" s="19" t="s">
        <v>71</v>
      </c>
      <c r="D16" s="10" t="s">
        <v>19</v>
      </c>
      <c r="E16" s="59">
        <f>38*18.5*0.8</f>
        <v>562.4</v>
      </c>
      <c r="F16" s="27">
        <v>17</v>
      </c>
      <c r="G16" s="59">
        <f t="shared" si="1"/>
        <v>9560.7999999999993</v>
      </c>
      <c r="I16" t="s">
        <v>69</v>
      </c>
      <c r="J16" s="51">
        <v>3530</v>
      </c>
      <c r="K16" s="51">
        <v>34</v>
      </c>
      <c r="O16" s="55">
        <f>J16/K16</f>
        <v>103.82352941176471</v>
      </c>
    </row>
    <row r="17" spans="1:11" ht="13" customHeight="1">
      <c r="A17" s="1" t="s">
        <v>16</v>
      </c>
      <c r="B17" s="44"/>
      <c r="C17" s="28" t="s">
        <v>74</v>
      </c>
      <c r="D17" s="26"/>
      <c r="E17" s="4"/>
      <c r="F17" s="4"/>
      <c r="G17" s="4">
        <f>SUM(G18)</f>
        <v>238000</v>
      </c>
      <c r="J17" s="51"/>
      <c r="K17" s="51"/>
    </row>
    <row r="18" spans="1:11" ht="25" customHeight="1">
      <c r="A18" s="29">
        <v>8</v>
      </c>
      <c r="B18" s="46"/>
      <c r="C18" s="19" t="s">
        <v>72</v>
      </c>
      <c r="D18" s="20" t="s">
        <v>19</v>
      </c>
      <c r="E18" s="59">
        <f>1*0.5*20*35*2</f>
        <v>700</v>
      </c>
      <c r="F18" s="27">
        <v>340</v>
      </c>
      <c r="G18" s="59">
        <f>E18*F18</f>
        <v>238000</v>
      </c>
    </row>
    <row r="19" spans="1:11" ht="13" customHeight="1">
      <c r="A19" s="7" t="s">
        <v>16</v>
      </c>
      <c r="B19" s="45"/>
      <c r="C19" s="21" t="s">
        <v>3</v>
      </c>
      <c r="D19" s="30"/>
      <c r="E19" s="60"/>
      <c r="F19" s="60"/>
      <c r="G19" s="58">
        <f>G20</f>
        <v>13343105.033747859</v>
      </c>
    </row>
    <row r="20" spans="1:11" ht="13" customHeight="1">
      <c r="A20" s="1" t="s">
        <v>16</v>
      </c>
      <c r="B20" s="44"/>
      <c r="C20" s="28" t="s">
        <v>21</v>
      </c>
      <c r="D20" s="26"/>
      <c r="E20" s="4"/>
      <c r="F20" s="4"/>
      <c r="G20" s="4">
        <f>G21</f>
        <v>13343105.033747859</v>
      </c>
    </row>
    <row r="21" spans="1:11" ht="13" customHeight="1">
      <c r="A21" s="5">
        <v>9</v>
      </c>
      <c r="B21" s="43"/>
      <c r="C21" s="31" t="s">
        <v>79</v>
      </c>
      <c r="D21" s="10" t="s">
        <v>22</v>
      </c>
      <c r="E21" s="27">
        <f>E25*O2+E27*O3+E29*O6+E31*O12+E33*O14</f>
        <v>1906157.8619639799</v>
      </c>
      <c r="F21" s="27">
        <v>7</v>
      </c>
      <c r="G21" s="27">
        <f>E21*F21</f>
        <v>13343105.033747859</v>
      </c>
    </row>
    <row r="22" spans="1:11" ht="13" customHeight="1">
      <c r="A22" s="7" t="s">
        <v>16</v>
      </c>
      <c r="B22" s="45"/>
      <c r="C22" s="21" t="s">
        <v>4</v>
      </c>
      <c r="D22" s="24"/>
      <c r="E22" s="58"/>
      <c r="F22" s="58"/>
      <c r="G22" s="58">
        <f>G23+G34</f>
        <v>7399185.9199999999</v>
      </c>
    </row>
    <row r="23" spans="1:11" ht="13" customHeight="1">
      <c r="A23" s="1" t="s">
        <v>16</v>
      </c>
      <c r="B23" s="44"/>
      <c r="C23" s="28" t="s">
        <v>24</v>
      </c>
      <c r="D23" s="26"/>
      <c r="E23" s="4"/>
      <c r="F23" s="4"/>
      <c r="G23" s="4">
        <f>SUM(G25:G33)</f>
        <v>7181990</v>
      </c>
    </row>
    <row r="24" spans="1:11" ht="13" customHeight="1">
      <c r="A24" s="5">
        <v>10</v>
      </c>
      <c r="B24" s="43"/>
      <c r="C24" s="9" t="s">
        <v>81</v>
      </c>
      <c r="D24" s="32"/>
      <c r="E24" s="61"/>
      <c r="F24" s="61"/>
    </row>
    <row r="25" spans="1:11" ht="13" customHeight="1">
      <c r="A25" s="5"/>
      <c r="B25" s="43"/>
      <c r="C25" s="9" t="s">
        <v>82</v>
      </c>
      <c r="D25" s="10" t="s">
        <v>19</v>
      </c>
      <c r="E25" s="27">
        <f>15*38</f>
        <v>570</v>
      </c>
      <c r="F25" s="27">
        <v>850</v>
      </c>
      <c r="G25" s="27">
        <f>E25*F25</f>
        <v>484500</v>
      </c>
    </row>
    <row r="26" spans="1:11" ht="13" customHeight="1">
      <c r="A26" s="5">
        <v>11</v>
      </c>
      <c r="B26" s="43"/>
      <c r="C26" s="9" t="s">
        <v>83</v>
      </c>
      <c r="D26" s="32"/>
      <c r="E26" s="61"/>
      <c r="F26" s="61"/>
    </row>
    <row r="27" spans="1:11" ht="13" customHeight="1">
      <c r="A27" s="5"/>
      <c r="B27" s="43"/>
      <c r="C27" s="9" t="s">
        <v>82</v>
      </c>
      <c r="D27" s="10" t="s">
        <v>19</v>
      </c>
      <c r="E27" s="27">
        <f>150*14.8</f>
        <v>2220</v>
      </c>
      <c r="F27" s="27">
        <v>850</v>
      </c>
      <c r="G27" s="27">
        <f>E27*F27</f>
        <v>1887000</v>
      </c>
    </row>
    <row r="28" spans="1:11" ht="13" customHeight="1">
      <c r="A28" s="5">
        <v>12</v>
      </c>
      <c r="B28" s="43"/>
      <c r="C28" s="9" t="s">
        <v>84</v>
      </c>
      <c r="D28" s="10"/>
      <c r="E28" s="27"/>
      <c r="F28" s="27"/>
      <c r="G28" s="27"/>
    </row>
    <row r="29" spans="1:11" ht="13" customHeight="1">
      <c r="A29" s="5"/>
      <c r="B29" s="43"/>
      <c r="C29" s="9" t="s">
        <v>80</v>
      </c>
      <c r="D29" s="10" t="s">
        <v>19</v>
      </c>
      <c r="E29" s="27">
        <f>E15+E16</f>
        <v>5410.4</v>
      </c>
      <c r="F29" s="27">
        <v>850</v>
      </c>
      <c r="G29" s="27">
        <f>F29*E29</f>
        <v>4598840</v>
      </c>
    </row>
    <row r="30" spans="1:11" ht="13" customHeight="1">
      <c r="A30" s="5">
        <v>13</v>
      </c>
      <c r="B30" s="43"/>
      <c r="C30" s="9" t="s">
        <v>85</v>
      </c>
      <c r="D30" s="10"/>
      <c r="E30" s="27"/>
      <c r="F30" s="27"/>
      <c r="G30" s="27"/>
    </row>
    <row r="31" spans="1:11" ht="13" customHeight="1">
      <c r="A31" s="5"/>
      <c r="B31" s="43"/>
      <c r="C31" s="9" t="s">
        <v>80</v>
      </c>
      <c r="D31" s="10" t="s">
        <v>19</v>
      </c>
      <c r="E31" s="27">
        <f>1.4*15*2</f>
        <v>42</v>
      </c>
      <c r="F31" s="27">
        <v>850</v>
      </c>
      <c r="G31" s="27">
        <f>E31*F31</f>
        <v>35700</v>
      </c>
    </row>
    <row r="32" spans="1:11" ht="12" customHeight="1">
      <c r="A32" s="5">
        <v>14</v>
      </c>
      <c r="B32" s="43"/>
      <c r="C32" s="9" t="s">
        <v>86</v>
      </c>
      <c r="D32" s="10"/>
      <c r="E32" s="27"/>
      <c r="F32" s="27"/>
      <c r="G32" s="27"/>
    </row>
    <row r="33" spans="1:7" ht="13" customHeight="1">
      <c r="A33" s="5"/>
      <c r="B33" s="43"/>
      <c r="C33" s="9" t="s">
        <v>80</v>
      </c>
      <c r="D33" s="10" t="s">
        <v>19</v>
      </c>
      <c r="E33" s="27">
        <f>0.75*2*(30+30+78)</f>
        <v>207</v>
      </c>
      <c r="F33" s="27">
        <v>850</v>
      </c>
      <c r="G33" s="27">
        <f>E33*F33</f>
        <v>175950</v>
      </c>
    </row>
    <row r="34" spans="1:7" ht="13" customHeight="1">
      <c r="A34" s="1" t="s">
        <v>16</v>
      </c>
      <c r="B34" s="44"/>
      <c r="C34" s="28" t="s">
        <v>25</v>
      </c>
      <c r="D34" s="26"/>
      <c r="E34" s="4"/>
      <c r="F34" s="4"/>
      <c r="G34" s="4">
        <f>G36</f>
        <v>217195.92</v>
      </c>
    </row>
    <row r="35" spans="1:7" ht="13" customHeight="1">
      <c r="A35" s="5">
        <v>15</v>
      </c>
      <c r="B35" s="43"/>
      <c r="C35" s="31" t="s">
        <v>46</v>
      </c>
      <c r="D35" s="10"/>
      <c r="E35" s="27"/>
      <c r="F35" s="27"/>
      <c r="G35" s="27"/>
    </row>
    <row r="36" spans="1:7" ht="13" customHeight="1">
      <c r="A36" s="5"/>
      <c r="B36" s="43"/>
      <c r="C36" s="31" t="s">
        <v>26</v>
      </c>
      <c r="D36" s="10" t="s">
        <v>19</v>
      </c>
      <c r="E36" s="27">
        <f>(2.62+1.35)*(30+30+78)+0.3*4*15*2</f>
        <v>583.86</v>
      </c>
      <c r="F36" s="27">
        <v>372</v>
      </c>
      <c r="G36" s="27">
        <f>E36*F36</f>
        <v>217195.92</v>
      </c>
    </row>
    <row r="37" spans="1:7" ht="13" customHeight="1">
      <c r="A37" s="7" t="s">
        <v>16</v>
      </c>
      <c r="B37" s="45"/>
      <c r="C37" s="21" t="s">
        <v>47</v>
      </c>
      <c r="D37" s="24"/>
      <c r="E37" s="58"/>
      <c r="F37" s="58"/>
      <c r="G37" s="58">
        <f>G38</f>
        <v>63480</v>
      </c>
    </row>
    <row r="38" spans="1:7" ht="13" customHeight="1">
      <c r="A38" s="1" t="s">
        <v>16</v>
      </c>
      <c r="B38" s="44"/>
      <c r="C38" s="28" t="s">
        <v>48</v>
      </c>
      <c r="D38" s="26"/>
      <c r="E38" s="4"/>
      <c r="F38" s="4"/>
      <c r="G38" s="4">
        <f>G39</f>
        <v>63480</v>
      </c>
    </row>
    <row r="39" spans="1:7" ht="13" customHeight="1">
      <c r="A39" s="5">
        <v>16</v>
      </c>
      <c r="B39" s="43"/>
      <c r="C39" s="31" t="s">
        <v>49</v>
      </c>
      <c r="D39" s="10" t="s">
        <v>30</v>
      </c>
      <c r="E39" s="27">
        <f>(30+30+78)*2</f>
        <v>276</v>
      </c>
      <c r="F39" s="27">
        <v>230</v>
      </c>
      <c r="G39" s="27">
        <f>E39*F39</f>
        <v>63480</v>
      </c>
    </row>
    <row r="40" spans="1:7" ht="13" customHeight="1">
      <c r="A40" s="7" t="s">
        <v>16</v>
      </c>
      <c r="B40" s="45"/>
      <c r="C40" s="21" t="s">
        <v>27</v>
      </c>
      <c r="D40" s="24"/>
      <c r="E40" s="58"/>
      <c r="F40" s="58"/>
      <c r="G40" s="58">
        <f>G41</f>
        <v>60902.399999999994</v>
      </c>
    </row>
    <row r="41" spans="1:7" ht="13" customHeight="1">
      <c r="A41" s="1" t="s">
        <v>16</v>
      </c>
      <c r="B41" s="44"/>
      <c r="C41" s="28" t="s">
        <v>28</v>
      </c>
      <c r="D41" s="26"/>
      <c r="E41" s="4"/>
      <c r="F41" s="4"/>
      <c r="G41" s="4">
        <f>G43</f>
        <v>60902.399999999994</v>
      </c>
    </row>
    <row r="42" spans="1:7" ht="25" customHeight="1">
      <c r="A42" s="5">
        <v>17</v>
      </c>
      <c r="B42" s="43"/>
      <c r="C42" s="9" t="s">
        <v>50</v>
      </c>
      <c r="D42" s="32"/>
      <c r="E42" s="61"/>
      <c r="F42" s="61"/>
      <c r="G42" s="61"/>
    </row>
    <row r="43" spans="1:7" ht="13" customHeight="1">
      <c r="A43" s="5"/>
      <c r="B43" s="43"/>
      <c r="C43" s="9" t="s">
        <v>90</v>
      </c>
      <c r="D43" s="10" t="s">
        <v>29</v>
      </c>
      <c r="E43" s="27">
        <v>640</v>
      </c>
      <c r="F43" s="27">
        <f>31.72*3</f>
        <v>95.16</v>
      </c>
      <c r="G43" s="27">
        <f>E43*F43</f>
        <v>60902.399999999994</v>
      </c>
    </row>
    <row r="44" spans="1:7" ht="13" customHeight="1">
      <c r="A44" s="33" t="s">
        <v>16</v>
      </c>
      <c r="B44" s="47"/>
      <c r="C44" s="34" t="s">
        <v>5</v>
      </c>
      <c r="D44" s="35"/>
      <c r="E44" s="65"/>
      <c r="F44" s="65"/>
      <c r="G44" s="65">
        <f>G45</f>
        <v>940496.17550000001</v>
      </c>
    </row>
    <row r="45" spans="1:7" ht="24.75" customHeight="1">
      <c r="A45" s="16" t="s">
        <v>16</v>
      </c>
      <c r="B45" s="49"/>
      <c r="C45" s="17" t="s">
        <v>31</v>
      </c>
      <c r="D45" s="38"/>
      <c r="E45" s="66"/>
      <c r="F45" s="66"/>
      <c r="G45" s="66">
        <f>SUM(G46:G48)</f>
        <v>940496.17550000001</v>
      </c>
    </row>
    <row r="46" spans="1:7" ht="21">
      <c r="A46" s="29">
        <v>18</v>
      </c>
      <c r="B46" s="46"/>
      <c r="C46" s="36" t="s">
        <v>88</v>
      </c>
      <c r="D46" s="20" t="s">
        <v>29</v>
      </c>
      <c r="E46" s="59">
        <v>1223</v>
      </c>
      <c r="F46" s="59">
        <v>700</v>
      </c>
      <c r="G46" s="59">
        <f>E46*F46</f>
        <v>856100</v>
      </c>
    </row>
    <row r="47" spans="1:7" ht="13" customHeight="1">
      <c r="A47" s="29">
        <v>19</v>
      </c>
      <c r="B47" s="46"/>
      <c r="C47" s="36" t="s">
        <v>59</v>
      </c>
      <c r="D47" s="20" t="s">
        <v>30</v>
      </c>
      <c r="E47" s="59">
        <f>55*2</f>
        <v>110</v>
      </c>
      <c r="F47" s="59">
        <v>740</v>
      </c>
      <c r="G47" s="59">
        <f>E47*F47</f>
        <v>81400</v>
      </c>
    </row>
    <row r="48" spans="1:7" ht="13" customHeight="1">
      <c r="A48" s="29">
        <v>20</v>
      </c>
      <c r="B48" s="46"/>
      <c r="C48" s="36" t="s">
        <v>43</v>
      </c>
      <c r="D48" s="20" t="s">
        <v>99</v>
      </c>
      <c r="E48" s="59">
        <f>TRUNC(E47/1.5*2)</f>
        <v>146</v>
      </c>
      <c r="F48" s="59">
        <f>(2.853+1.9195)*4.3</f>
        <v>20.521749999999997</v>
      </c>
      <c r="G48" s="59">
        <f>E48*F48</f>
        <v>2996.1754999999994</v>
      </c>
    </row>
    <row r="49" spans="1:9" ht="13" customHeight="1">
      <c r="A49" s="7" t="s">
        <v>16</v>
      </c>
      <c r="B49" s="45"/>
      <c r="C49" s="37" t="s">
        <v>52</v>
      </c>
      <c r="D49" s="24"/>
      <c r="E49" s="58"/>
      <c r="F49" s="58"/>
      <c r="G49" s="58">
        <f>G50+G52+G59+G62+G63+G64+G54+G56</f>
        <v>3292143.21</v>
      </c>
    </row>
    <row r="50" spans="1:9" ht="13" customHeight="1">
      <c r="A50" s="16" t="s">
        <v>16</v>
      </c>
      <c r="B50" s="48"/>
      <c r="C50" s="17" t="s">
        <v>32</v>
      </c>
      <c r="D50" s="18"/>
      <c r="E50" s="63"/>
      <c r="F50" s="63"/>
      <c r="G50" s="63">
        <f>G51</f>
        <v>48000</v>
      </c>
    </row>
    <row r="51" spans="1:9" ht="13" customHeight="1">
      <c r="A51" s="5">
        <v>21</v>
      </c>
      <c r="B51" s="43"/>
      <c r="C51" s="9" t="s">
        <v>37</v>
      </c>
      <c r="D51" s="10" t="s">
        <v>29</v>
      </c>
      <c r="E51" s="27">
        <v>640</v>
      </c>
      <c r="F51" s="27">
        <v>75</v>
      </c>
      <c r="G51" s="27">
        <f>E51*F51</f>
        <v>48000</v>
      </c>
    </row>
    <row r="52" spans="1:9" s="8" customFormat="1" ht="13" customHeight="1">
      <c r="A52" s="16" t="s">
        <v>16</v>
      </c>
      <c r="B52" s="48"/>
      <c r="C52" s="17" t="s">
        <v>91</v>
      </c>
      <c r="D52" s="18"/>
      <c r="E52" s="63"/>
      <c r="F52" s="63"/>
      <c r="G52" s="63">
        <f>G53</f>
        <v>43056</v>
      </c>
    </row>
    <row r="53" spans="1:9" s="8" customFormat="1" ht="13" customHeight="1">
      <c r="A53" s="29">
        <v>22</v>
      </c>
      <c r="B53" s="46"/>
      <c r="C53" s="36" t="s">
        <v>92</v>
      </c>
      <c r="D53" s="20" t="s">
        <v>30</v>
      </c>
      <c r="E53" s="59">
        <f>(30+30+78)*4*1.2</f>
        <v>662.4</v>
      </c>
      <c r="F53" s="59">
        <v>65</v>
      </c>
      <c r="G53" s="59">
        <f>E53*F53</f>
        <v>43056</v>
      </c>
    </row>
    <row r="54" spans="1:9" s="8" customFormat="1" ht="13" customHeight="1">
      <c r="A54" s="16"/>
      <c r="B54" s="48"/>
      <c r="C54" s="17" t="s">
        <v>58</v>
      </c>
      <c r="D54" s="18"/>
      <c r="E54" s="63"/>
      <c r="F54" s="63"/>
      <c r="G54" s="63">
        <f>G55</f>
        <v>50947.210000000006</v>
      </c>
    </row>
    <row r="55" spans="1:9" s="8" customFormat="1" ht="13" customHeight="1">
      <c r="A55" s="5">
        <v>23</v>
      </c>
      <c r="B55" s="43"/>
      <c r="C55" s="9" t="s">
        <v>100</v>
      </c>
      <c r="D55" s="10" t="s">
        <v>39</v>
      </c>
      <c r="E55" s="27">
        <f>131</f>
        <v>131</v>
      </c>
      <c r="F55" s="27">
        <f>363.91+25</f>
        <v>388.91</v>
      </c>
      <c r="G55" s="27">
        <f>E55*F55</f>
        <v>50947.210000000006</v>
      </c>
    </row>
    <row r="56" spans="1:9" s="8" customFormat="1" ht="13" customHeight="1">
      <c r="A56" s="16"/>
      <c r="B56" s="48"/>
      <c r="C56" s="17" t="s">
        <v>93</v>
      </c>
      <c r="D56" s="18"/>
      <c r="E56" s="63"/>
      <c r="F56" s="63"/>
      <c r="G56" s="63">
        <f>G57+G58</f>
        <v>118480</v>
      </c>
    </row>
    <row r="57" spans="1:9" ht="13" customHeight="1">
      <c r="A57" s="5">
        <v>24</v>
      </c>
      <c r="B57" s="43"/>
      <c r="C57" s="9" t="s">
        <v>94</v>
      </c>
      <c r="D57" s="10" t="s">
        <v>39</v>
      </c>
      <c r="E57" s="27">
        <f>38*3</f>
        <v>114</v>
      </c>
      <c r="F57" s="27">
        <v>120</v>
      </c>
      <c r="G57" s="27">
        <f t="shared" ref="G57:G58" si="2">E57*F57</f>
        <v>13680</v>
      </c>
    </row>
    <row r="58" spans="1:9" ht="13" customHeight="1">
      <c r="A58" s="5">
        <v>25</v>
      </c>
      <c r="B58" s="43"/>
      <c r="C58" s="9" t="s">
        <v>95</v>
      </c>
      <c r="D58" s="10" t="s">
        <v>39</v>
      </c>
      <c r="E58" s="27">
        <f>131*4</f>
        <v>524</v>
      </c>
      <c r="F58" s="27">
        <v>200</v>
      </c>
      <c r="G58" s="27">
        <f t="shared" si="2"/>
        <v>104800</v>
      </c>
    </row>
    <row r="59" spans="1:9" ht="15.75" customHeight="1">
      <c r="A59" s="16" t="s">
        <v>16</v>
      </c>
      <c r="B59" s="48"/>
      <c r="C59" s="17" t="s">
        <v>51</v>
      </c>
      <c r="D59" s="18"/>
      <c r="E59" s="63"/>
      <c r="F59" s="63"/>
      <c r="G59" s="63">
        <f>SUM(G60:G61)</f>
        <v>5660</v>
      </c>
    </row>
    <row r="60" spans="1:9">
      <c r="A60" s="5">
        <v>26</v>
      </c>
      <c r="B60" s="43"/>
      <c r="C60" s="9" t="s">
        <v>33</v>
      </c>
      <c r="D60" s="10" t="s">
        <v>99</v>
      </c>
      <c r="E60" s="27">
        <v>24</v>
      </c>
      <c r="F60" s="27">
        <v>190</v>
      </c>
      <c r="G60" s="27">
        <f t="shared" ref="G60:G64" si="3">E60*F60</f>
        <v>4560</v>
      </c>
    </row>
    <row r="61" spans="1:9" ht="14.25" customHeight="1">
      <c r="A61" s="29">
        <v>27</v>
      </c>
      <c r="B61" s="46"/>
      <c r="C61" s="11" t="s">
        <v>34</v>
      </c>
      <c r="D61" s="68" t="s">
        <v>99</v>
      </c>
      <c r="E61" s="64">
        <v>2</v>
      </c>
      <c r="F61" s="27">
        <v>550</v>
      </c>
      <c r="G61" s="27">
        <f t="shared" si="3"/>
        <v>1100</v>
      </c>
    </row>
    <row r="62" spans="1:9">
      <c r="A62" s="16">
        <v>28</v>
      </c>
      <c r="B62" s="48"/>
      <c r="C62" s="17" t="s">
        <v>57</v>
      </c>
      <c r="D62" s="18" t="s">
        <v>55</v>
      </c>
      <c r="E62" s="63">
        <v>6</v>
      </c>
      <c r="F62" s="63">
        <v>1000</v>
      </c>
      <c r="G62" s="63">
        <f t="shared" si="3"/>
        <v>6000</v>
      </c>
      <c r="I62" s="50"/>
    </row>
    <row r="63" spans="1:9" ht="21">
      <c r="A63" s="48">
        <v>29</v>
      </c>
      <c r="B63" s="48"/>
      <c r="C63" s="17" t="s">
        <v>42</v>
      </c>
      <c r="D63" s="18" t="s">
        <v>23</v>
      </c>
      <c r="E63" s="66">
        <v>1</v>
      </c>
      <c r="F63" s="63">
        <v>3000000</v>
      </c>
      <c r="G63" s="63">
        <f t="shared" si="3"/>
        <v>3000000</v>
      </c>
    </row>
    <row r="64" spans="1:9">
      <c r="A64" s="16">
        <v>30</v>
      </c>
      <c r="B64" s="48"/>
      <c r="C64" s="17" t="s">
        <v>60</v>
      </c>
      <c r="D64" s="18" t="s">
        <v>23</v>
      </c>
      <c r="E64" s="66">
        <v>1</v>
      </c>
      <c r="F64" s="63">
        <v>20000</v>
      </c>
      <c r="G64" s="63">
        <f t="shared" si="3"/>
        <v>20000</v>
      </c>
    </row>
    <row r="65" spans="1:7" ht="14">
      <c r="F65" s="67" t="s">
        <v>35</v>
      </c>
      <c r="G65" s="67">
        <f>G4+G7+G19+G22+G37+G40+G44+G49</f>
        <v>27907077.739247862</v>
      </c>
    </row>
    <row r="66" spans="1:7">
      <c r="A66" s="6" t="s">
        <v>36</v>
      </c>
    </row>
  </sheetData>
  <mergeCells count="1">
    <mergeCell ref="D1:G1"/>
  </mergeCells>
  <phoneticPr fontId="2" type="noConversion"/>
  <pageMargins left="0.78740157480314965" right="0.78740157480314965" top="0.98425196850393704" bottom="0.98425196850393704" header="0.51181102362204722" footer="0.51181102362204722"/>
  <pageSetup paperSize="9" scale="69" fitToWidth="0" orientation="portrait" r:id="rId1"/>
  <headerFooter alignWithMargins="0"/>
  <rowBreaks count="1" manualBreakCount="1">
    <brk id="6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K36"/>
  <sheetViews>
    <sheetView tabSelected="1" view="pageLayout" topLeftCell="A22" zoomScale="124" zoomScaleNormal="85" zoomScaleSheetLayoutView="85" zoomScalePageLayoutView="124" workbookViewId="0">
      <selection activeCell="C40" sqref="C40"/>
    </sheetView>
  </sheetViews>
  <sheetFormatPr defaultRowHeight="13"/>
  <cols>
    <col min="1" max="1" width="4.26953125" customWidth="1"/>
    <col min="2" max="2" width="9.7265625" customWidth="1"/>
    <col min="3" max="3" width="94.7265625" customWidth="1"/>
    <col min="4" max="4" width="6.26953125" bestFit="1" customWidth="1"/>
    <col min="5" max="5" width="10.7265625" customWidth="1"/>
    <col min="6" max="6" width="25.453125" customWidth="1"/>
  </cols>
  <sheetData>
    <row r="1" spans="1:11" ht="67.5" customHeight="1">
      <c r="A1" s="103" t="s">
        <v>105</v>
      </c>
      <c r="B1" s="104"/>
      <c r="C1" s="104"/>
      <c r="D1" s="104"/>
      <c r="E1" s="105"/>
    </row>
    <row r="2" spans="1:11" ht="46.9" customHeight="1">
      <c r="A2" s="106" t="s">
        <v>151</v>
      </c>
      <c r="B2" s="107"/>
      <c r="C2" s="107"/>
      <c r="D2" s="107"/>
      <c r="E2" s="108"/>
    </row>
    <row r="3" spans="1:11">
      <c r="A3" s="91" t="s">
        <v>0</v>
      </c>
      <c r="B3" s="85" t="s">
        <v>149</v>
      </c>
      <c r="C3" s="85" t="s">
        <v>7</v>
      </c>
      <c r="D3" s="85" t="s">
        <v>8</v>
      </c>
      <c r="E3" s="92" t="s">
        <v>9</v>
      </c>
    </row>
    <row r="4" spans="1:11">
      <c r="A4" s="73" t="s">
        <v>106</v>
      </c>
      <c r="B4" s="74" t="s">
        <v>107</v>
      </c>
      <c r="C4" s="74" t="s">
        <v>108</v>
      </c>
      <c r="D4" s="74" t="s">
        <v>109</v>
      </c>
      <c r="E4" s="93" t="s">
        <v>110</v>
      </c>
    </row>
    <row r="5" spans="1:11" ht="26.25" customHeight="1">
      <c r="A5" s="86">
        <v>1</v>
      </c>
      <c r="B5" s="82" t="s">
        <v>147</v>
      </c>
      <c r="C5" s="84" t="s">
        <v>148</v>
      </c>
      <c r="D5" s="80"/>
      <c r="E5" s="94"/>
    </row>
    <row r="6" spans="1:11" ht="13.15" customHeight="1">
      <c r="A6" s="87">
        <v>1.1000000000000001</v>
      </c>
      <c r="B6" s="77"/>
      <c r="C6" s="72" t="s">
        <v>102</v>
      </c>
      <c r="D6" s="83" t="s">
        <v>19</v>
      </c>
      <c r="E6" s="95">
        <f>906</f>
        <v>906</v>
      </c>
    </row>
    <row r="7" spans="1:11">
      <c r="A7" s="87">
        <v>1.2</v>
      </c>
      <c r="B7" s="77"/>
      <c r="C7" s="72" t="s">
        <v>103</v>
      </c>
      <c r="D7" s="83" t="s">
        <v>19</v>
      </c>
      <c r="E7" s="95">
        <f>906</f>
        <v>906</v>
      </c>
    </row>
    <row r="8" spans="1:11">
      <c r="A8" s="88">
        <v>2</v>
      </c>
      <c r="B8" s="82" t="s">
        <v>147</v>
      </c>
      <c r="C8" s="81" t="s">
        <v>146</v>
      </c>
      <c r="D8" s="80"/>
      <c r="E8" s="94"/>
    </row>
    <row r="9" spans="1:11" ht="14.5">
      <c r="A9" s="89"/>
      <c r="B9" s="79"/>
      <c r="C9" s="21" t="s">
        <v>145</v>
      </c>
      <c r="D9" s="78"/>
      <c r="E9" s="96"/>
    </row>
    <row r="10" spans="1:11" ht="14.5">
      <c r="A10" s="90">
        <v>2.1</v>
      </c>
      <c r="B10" s="77"/>
      <c r="C10" s="76" t="s">
        <v>144</v>
      </c>
      <c r="D10" s="75" t="s">
        <v>117</v>
      </c>
      <c r="E10" s="97">
        <v>0.23</v>
      </c>
    </row>
    <row r="11" spans="1:11" ht="14.5">
      <c r="A11" s="90">
        <v>2.2000000000000002</v>
      </c>
      <c r="B11" s="77"/>
      <c r="C11" s="76" t="s">
        <v>143</v>
      </c>
      <c r="D11" s="75" t="s">
        <v>23</v>
      </c>
      <c r="E11" s="97">
        <v>3</v>
      </c>
      <c r="F11" s="99"/>
      <c r="G11" s="99"/>
      <c r="H11" s="99"/>
      <c r="I11" s="99"/>
      <c r="J11" s="99"/>
      <c r="K11" s="99"/>
    </row>
    <row r="12" spans="1:11" ht="14.5">
      <c r="A12" s="90">
        <v>2.2999999999999998</v>
      </c>
      <c r="B12" s="77"/>
      <c r="C12" s="76" t="s">
        <v>142</v>
      </c>
      <c r="D12" s="75" t="s">
        <v>19</v>
      </c>
      <c r="E12" s="98">
        <f>0.9*0.6*0.5*230*2+(0.6*8.275*230)</f>
        <v>1266.1500000000001</v>
      </c>
      <c r="F12" s="99"/>
      <c r="G12" s="99"/>
      <c r="H12" s="99"/>
      <c r="I12" s="99"/>
      <c r="J12" s="99"/>
      <c r="K12" s="99"/>
    </row>
    <row r="13" spans="1:11" ht="14.5">
      <c r="A13" s="90">
        <v>2.4</v>
      </c>
      <c r="B13" s="77"/>
      <c r="C13" s="76" t="s">
        <v>141</v>
      </c>
      <c r="D13" s="75" t="s">
        <v>138</v>
      </c>
      <c r="E13" s="97">
        <f>230*50/1000</f>
        <v>11.5</v>
      </c>
      <c r="F13" s="99"/>
      <c r="G13" s="99"/>
      <c r="H13" s="99"/>
      <c r="I13" s="99"/>
      <c r="J13" s="100" t="s">
        <v>140</v>
      </c>
      <c r="K13" s="99"/>
    </row>
    <row r="14" spans="1:11" ht="14.5">
      <c r="A14" s="90">
        <v>2.5</v>
      </c>
      <c r="B14" s="77"/>
      <c r="C14" s="76" t="s">
        <v>139</v>
      </c>
      <c r="D14" s="75" t="s">
        <v>138</v>
      </c>
      <c r="E14" s="97">
        <f>(230*50)/1000+E11*17.5</f>
        <v>64</v>
      </c>
      <c r="F14" s="99"/>
      <c r="G14" s="99"/>
      <c r="H14" s="99"/>
      <c r="I14" s="99"/>
      <c r="J14" s="99"/>
      <c r="K14" s="99"/>
    </row>
    <row r="15" spans="1:11" ht="14.5">
      <c r="A15" s="90">
        <v>2.6</v>
      </c>
      <c r="B15" s="77"/>
      <c r="C15" s="76" t="s">
        <v>137</v>
      </c>
      <c r="D15" s="75" t="s">
        <v>20</v>
      </c>
      <c r="E15" s="97">
        <v>384</v>
      </c>
      <c r="F15" s="99"/>
      <c r="G15" s="99"/>
      <c r="H15" s="99"/>
      <c r="I15" s="99"/>
      <c r="J15" s="99"/>
      <c r="K15" s="99"/>
    </row>
    <row r="16" spans="1:11" ht="14.5">
      <c r="A16" s="89"/>
      <c r="B16" s="79"/>
      <c r="C16" s="21" t="s">
        <v>136</v>
      </c>
      <c r="D16" s="78"/>
      <c r="E16" s="96"/>
      <c r="F16" s="99"/>
      <c r="G16" s="99"/>
      <c r="H16" s="99"/>
      <c r="I16" s="99"/>
      <c r="J16" s="99"/>
      <c r="K16" s="99"/>
    </row>
    <row r="17" spans="1:11" ht="29">
      <c r="A17" s="90">
        <v>2.7</v>
      </c>
      <c r="B17" s="77"/>
      <c r="C17" s="76" t="s">
        <v>135</v>
      </c>
      <c r="D17" s="75" t="s">
        <v>19</v>
      </c>
      <c r="E17" s="97">
        <f>E12</f>
        <v>1266.1500000000001</v>
      </c>
      <c r="F17" s="99"/>
      <c r="G17" s="99"/>
      <c r="H17" s="99"/>
      <c r="I17" s="99"/>
      <c r="J17" s="99">
        <f>230*170.44</f>
        <v>39201.199999999997</v>
      </c>
      <c r="K17" s="99"/>
    </row>
    <row r="18" spans="1:11" ht="14.5">
      <c r="A18" s="90">
        <v>2.8</v>
      </c>
      <c r="B18" s="77"/>
      <c r="C18" s="76" t="s">
        <v>134</v>
      </c>
      <c r="D18" s="75" t="s">
        <v>19</v>
      </c>
      <c r="E18" s="97">
        <f>34.5*16.8*0.55</f>
        <v>318.78000000000003</v>
      </c>
      <c r="F18" s="99"/>
      <c r="G18" s="99"/>
      <c r="H18" s="99"/>
      <c r="I18" s="99">
        <f>E14/E10</f>
        <v>278.26086956521738</v>
      </c>
      <c r="J18" s="99"/>
      <c r="K18" s="99"/>
    </row>
    <row r="19" spans="1:11" ht="29">
      <c r="A19" s="90">
        <v>2.9</v>
      </c>
      <c r="B19" s="77"/>
      <c r="C19" s="76" t="s">
        <v>133</v>
      </c>
      <c r="D19" s="75" t="s">
        <v>117</v>
      </c>
      <c r="E19" s="97" t="s">
        <v>131</v>
      </c>
      <c r="F19" s="99"/>
      <c r="G19" s="99"/>
      <c r="H19" s="99"/>
      <c r="I19" s="99"/>
      <c r="J19" s="99"/>
      <c r="K19" s="99"/>
    </row>
    <row r="20" spans="1:11" ht="29">
      <c r="A20" s="90">
        <v>3</v>
      </c>
      <c r="B20" s="77"/>
      <c r="C20" s="76" t="s">
        <v>132</v>
      </c>
      <c r="D20" s="75" t="s">
        <v>117</v>
      </c>
      <c r="E20" s="97" t="s">
        <v>131</v>
      </c>
      <c r="F20" s="99"/>
      <c r="G20" s="99"/>
      <c r="H20" s="99"/>
      <c r="I20" s="99"/>
      <c r="J20" s="99"/>
      <c r="K20" s="99"/>
    </row>
    <row r="21" spans="1:11" ht="14.5">
      <c r="A21" s="90">
        <v>3.1</v>
      </c>
      <c r="B21" s="77"/>
      <c r="C21" s="76" t="s">
        <v>130</v>
      </c>
      <c r="D21" s="75" t="s">
        <v>129</v>
      </c>
      <c r="E21" s="97" t="s">
        <v>124</v>
      </c>
      <c r="F21" s="99"/>
      <c r="G21" s="99"/>
      <c r="H21" s="99"/>
      <c r="I21" s="99"/>
      <c r="J21" s="99"/>
      <c r="K21" s="99"/>
    </row>
    <row r="22" spans="1:11" ht="14.5">
      <c r="A22" s="90">
        <v>3.2</v>
      </c>
      <c r="B22" s="77"/>
      <c r="C22" s="76" t="s">
        <v>128</v>
      </c>
      <c r="D22" s="75" t="s">
        <v>30</v>
      </c>
      <c r="E22" s="97" t="s">
        <v>127</v>
      </c>
      <c r="F22" s="99"/>
      <c r="G22" s="99"/>
      <c r="H22" s="99"/>
      <c r="I22" s="99"/>
      <c r="J22" s="99"/>
      <c r="K22" s="99"/>
    </row>
    <row r="23" spans="1:11" ht="14.5">
      <c r="A23" s="90">
        <v>3.3</v>
      </c>
      <c r="B23" s="77"/>
      <c r="C23" s="76" t="s">
        <v>126</v>
      </c>
      <c r="D23" s="75" t="s">
        <v>125</v>
      </c>
      <c r="E23" s="97" t="s">
        <v>124</v>
      </c>
      <c r="F23" s="99"/>
      <c r="G23" s="99"/>
      <c r="H23" s="99"/>
      <c r="I23" s="99"/>
      <c r="J23" s="99"/>
      <c r="K23" s="99"/>
    </row>
    <row r="24" spans="1:11" ht="14.5">
      <c r="A24" s="90">
        <v>3.4</v>
      </c>
      <c r="B24" s="77"/>
      <c r="C24" s="76" t="s">
        <v>123</v>
      </c>
      <c r="D24" s="75" t="s">
        <v>122</v>
      </c>
      <c r="E24" s="97" t="s">
        <v>121</v>
      </c>
      <c r="F24" s="99"/>
      <c r="G24" s="99"/>
      <c r="H24" s="99"/>
      <c r="I24" s="99"/>
      <c r="J24" s="99"/>
      <c r="K24" s="99"/>
    </row>
    <row r="25" spans="1:11" ht="29">
      <c r="A25" s="90">
        <v>3.5</v>
      </c>
      <c r="B25" s="77"/>
      <c r="C25" s="76" t="s">
        <v>120</v>
      </c>
      <c r="D25" s="75" t="s">
        <v>19</v>
      </c>
      <c r="E25" s="97" t="s">
        <v>119</v>
      </c>
      <c r="F25" s="99"/>
      <c r="G25" s="99"/>
      <c r="H25" s="99"/>
      <c r="I25" s="99"/>
      <c r="J25" s="99"/>
      <c r="K25" s="99"/>
    </row>
    <row r="26" spans="1:11" ht="29">
      <c r="A26" s="90">
        <v>2.9</v>
      </c>
      <c r="B26" s="77"/>
      <c r="C26" s="76" t="s">
        <v>118</v>
      </c>
      <c r="D26" s="75" t="s">
        <v>117</v>
      </c>
      <c r="E26" s="97">
        <f>E10</f>
        <v>0.23</v>
      </c>
      <c r="F26" s="99"/>
      <c r="G26" s="99"/>
      <c r="H26" s="99"/>
      <c r="I26" s="99"/>
      <c r="J26" s="99"/>
      <c r="K26" s="99"/>
    </row>
    <row r="27" spans="1:11" ht="14.5">
      <c r="A27" s="90" t="s">
        <v>116</v>
      </c>
      <c r="B27" s="77"/>
      <c r="C27" s="76" t="s">
        <v>115</v>
      </c>
      <c r="D27" s="75" t="s">
        <v>23</v>
      </c>
      <c r="E27" s="97">
        <v>3</v>
      </c>
      <c r="F27" s="99"/>
      <c r="G27" s="99"/>
      <c r="H27" s="99"/>
      <c r="I27" s="99"/>
      <c r="J27" s="99"/>
      <c r="K27" s="99"/>
    </row>
    <row r="28" spans="1:11" ht="29">
      <c r="A28" s="90" t="s">
        <v>114</v>
      </c>
      <c r="B28" s="77"/>
      <c r="C28" s="76" t="s">
        <v>113</v>
      </c>
      <c r="D28" s="75" t="s">
        <v>19</v>
      </c>
      <c r="E28" s="97">
        <f>0.9*0.23*0.5*230*2+(0.23*8.275*230)</f>
        <v>485.35750000000002</v>
      </c>
      <c r="F28" s="99"/>
      <c r="G28" s="99"/>
      <c r="H28" s="99"/>
      <c r="I28" s="99"/>
      <c r="J28" s="99"/>
      <c r="K28" s="99"/>
    </row>
    <row r="29" spans="1:11" ht="14.5">
      <c r="A29" s="90" t="s">
        <v>112</v>
      </c>
      <c r="B29" s="77"/>
      <c r="C29" s="76" t="s">
        <v>111</v>
      </c>
      <c r="D29" s="75" t="s">
        <v>29</v>
      </c>
      <c r="E29" s="97">
        <f>230*8.23</f>
        <v>1892.9</v>
      </c>
      <c r="F29" s="99"/>
      <c r="G29" s="99"/>
      <c r="H29" s="99"/>
      <c r="I29" s="99"/>
      <c r="J29" s="99"/>
      <c r="K29" s="99"/>
    </row>
    <row r="30" spans="1:11" ht="14.5">
      <c r="A30" s="109" t="s">
        <v>150</v>
      </c>
      <c r="B30" s="110"/>
      <c r="C30" s="111" t="s">
        <v>152</v>
      </c>
      <c r="D30" s="112" t="s">
        <v>129</v>
      </c>
      <c r="E30" s="113">
        <v>1</v>
      </c>
      <c r="F30" s="99"/>
      <c r="G30" s="99"/>
      <c r="H30" s="99"/>
      <c r="I30" s="99"/>
      <c r="J30" s="99"/>
      <c r="K30" s="99"/>
    </row>
    <row r="31" spans="1:11" ht="14">
      <c r="A31" s="114"/>
      <c r="B31" s="114"/>
      <c r="C31" s="115" t="s">
        <v>153</v>
      </c>
      <c r="D31" s="114"/>
      <c r="E31" s="114"/>
    </row>
    <row r="32" spans="1:11" hidden="1">
      <c r="A32" s="114"/>
      <c r="B32" s="114"/>
      <c r="C32" s="114"/>
      <c r="D32" s="114"/>
      <c r="E32" s="114"/>
    </row>
    <row r="33" spans="1:5" ht="25.5" hidden="1" customHeight="1">
      <c r="A33" s="116" t="s">
        <v>104</v>
      </c>
      <c r="B33" s="116"/>
      <c r="C33" s="116"/>
      <c r="D33" s="116"/>
      <c r="E33" s="116"/>
    </row>
    <row r="34" spans="1:5" hidden="1">
      <c r="A34" s="114"/>
      <c r="B34" s="114"/>
      <c r="C34" s="114"/>
      <c r="D34" s="114"/>
      <c r="E34" s="114"/>
    </row>
    <row r="35" spans="1:5" hidden="1">
      <c r="A35" s="114"/>
      <c r="B35" s="114"/>
      <c r="C35" s="114"/>
      <c r="D35" s="114"/>
      <c r="E35" s="114"/>
    </row>
    <row r="36" spans="1:5" ht="26">
      <c r="A36" s="117" t="s">
        <v>150</v>
      </c>
      <c r="B36" s="114"/>
      <c r="C36" s="119" t="s">
        <v>154</v>
      </c>
      <c r="D36" s="120" t="s">
        <v>129</v>
      </c>
      <c r="E36" s="118">
        <v>1</v>
      </c>
    </row>
  </sheetData>
  <mergeCells count="3">
    <mergeCell ref="A33:E33"/>
    <mergeCell ref="A1:E1"/>
    <mergeCell ref="A2:E2"/>
  </mergeCells>
  <phoneticPr fontId="2" type="noConversion"/>
  <pageMargins left="0.25" right="0.25" top="0.75" bottom="0.75" header="0.3" footer="0.3"/>
  <pageSetup paperSize="9" scale="80" orientation="portrait" r:id="rId1"/>
  <headerFooter>
    <oddHeader>&amp;R2. Branża Konstrukcyjna- Mostowa</oddHeader>
  </headerFooter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Tunel</vt:lpstr>
      <vt:lpstr>1.Perony i odtworzenie torów</vt:lpstr>
      <vt:lpstr>'1.Perony i odtworzenie torów'!Obszar_wydruku</vt:lpstr>
      <vt:lpstr>Tunel!Obszar_wydruku</vt:lpstr>
      <vt:lpstr>Tunel!Tytuły_wydruku</vt:lpstr>
    </vt:vector>
  </TitlesOfParts>
  <Company>DHV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DHV</dc:creator>
  <cp:lastModifiedBy>Godziewicz Henryk</cp:lastModifiedBy>
  <cp:lastPrinted>2022-07-20T08:17:02Z</cp:lastPrinted>
  <dcterms:created xsi:type="dcterms:W3CDTF">2008-03-05T08:01:44Z</dcterms:created>
  <dcterms:modified xsi:type="dcterms:W3CDTF">2023-07-24T10:58:49Z</dcterms:modified>
</cp:coreProperties>
</file>