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D:\A\GZ Kraśnik\gaz #4 przetarg\"/>
    </mc:Choice>
  </mc:AlternateContent>
  <xr:revisionPtr revIDLastSave="0" documentId="13_ncr:1_{7D6D59BC-59AB-492C-9DE9-4FA9B9678FD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definedNames>
    <definedName name="_xlnm._FilterDatabase" localSheetId="0" hidden="1">Arkusz1!$A$5:$AB$16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28" i="1" l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A27" i="1"/>
  <c r="Z22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A21" i="1"/>
  <c r="V13" i="1"/>
  <c r="T13" i="1"/>
  <c r="T12" i="1"/>
  <c r="V11" i="1"/>
  <c r="T11" i="1"/>
  <c r="T10" i="1"/>
  <c r="V9" i="1"/>
  <c r="T8" i="1"/>
  <c r="V7" i="1"/>
  <c r="T7" i="1"/>
  <c r="V6" i="1"/>
  <c r="T6" i="1"/>
  <c r="Z15" i="1"/>
  <c r="V15" i="1"/>
  <c r="P15" i="1"/>
  <c r="N15" i="1"/>
  <c r="Z14" i="1"/>
  <c r="V14" i="1"/>
  <c r="P14" i="1"/>
  <c r="N14" i="1"/>
  <c r="Z13" i="1"/>
  <c r="P13" i="1"/>
  <c r="N13" i="1"/>
  <c r="Z12" i="1"/>
  <c r="V12" i="1"/>
  <c r="P12" i="1"/>
  <c r="N12" i="1"/>
  <c r="Z11" i="1"/>
  <c r="P11" i="1"/>
  <c r="N11" i="1"/>
  <c r="Z10" i="1"/>
  <c r="V10" i="1"/>
  <c r="P10" i="1"/>
  <c r="N10" i="1"/>
  <c r="Z9" i="1"/>
  <c r="P9" i="1"/>
  <c r="N9" i="1"/>
  <c r="Z8" i="1"/>
  <c r="V8" i="1"/>
  <c r="P8" i="1"/>
  <c r="N8" i="1"/>
  <c r="Z7" i="1"/>
  <c r="P7" i="1"/>
  <c r="N7" i="1"/>
  <c r="P6" i="1"/>
  <c r="N6" i="1"/>
  <c r="AB5" i="1"/>
  <c r="Z6" i="1"/>
  <c r="AA5" i="1"/>
  <c r="Z5" i="1"/>
  <c r="Y5" i="1"/>
  <c r="X5" i="1"/>
  <c r="W5" i="1"/>
  <c r="V5" i="1"/>
  <c r="U5" i="1"/>
  <c r="T5" i="1"/>
  <c r="S5" i="1"/>
  <c r="R5" i="1"/>
  <c r="Q5" i="1"/>
  <c r="P5" i="1"/>
  <c r="O5" i="1"/>
  <c r="N5" i="1"/>
  <c r="M5" i="1"/>
  <c r="L5" i="1"/>
  <c r="K5" i="1"/>
  <c r="J5" i="1"/>
  <c r="I5" i="1"/>
  <c r="H5" i="1"/>
  <c r="G5" i="1"/>
  <c r="F5" i="1"/>
  <c r="E5" i="1"/>
  <c r="D5" i="1"/>
  <c r="C5" i="1"/>
  <c r="B5" i="1"/>
  <c r="A5" i="1"/>
  <c r="R9" i="1" l="1"/>
  <c r="W12" i="1"/>
  <c r="W10" i="1"/>
  <c r="T15" i="1"/>
  <c r="W15" i="1" s="1"/>
  <c r="T14" i="1"/>
  <c r="W14" i="1" s="1"/>
  <c r="T9" i="1"/>
  <c r="W9" i="1" s="1"/>
  <c r="W8" i="1"/>
  <c r="R8" i="1"/>
  <c r="I16" i="1"/>
  <c r="R7" i="1"/>
  <c r="R12" i="1"/>
  <c r="R10" i="1"/>
  <c r="W11" i="1"/>
  <c r="R13" i="1"/>
  <c r="R14" i="1"/>
  <c r="R15" i="1"/>
  <c r="W7" i="1"/>
  <c r="R11" i="1"/>
  <c r="W13" i="1"/>
  <c r="W6" i="1"/>
  <c r="R6" i="1"/>
  <c r="X12" i="1" l="1"/>
  <c r="Y12" i="1" s="1"/>
  <c r="X8" i="1"/>
  <c r="Y8" i="1" s="1"/>
  <c r="I22" i="1"/>
  <c r="X9" i="1"/>
  <c r="Y9" i="1" s="1"/>
  <c r="X13" i="1"/>
  <c r="Y13" i="1" s="1"/>
  <c r="X10" i="1"/>
  <c r="Y10" i="1" s="1"/>
  <c r="X11" i="1"/>
  <c r="Y11" i="1" s="1"/>
  <c r="X15" i="1"/>
  <c r="Y15" i="1" s="1"/>
  <c r="X14" i="1"/>
  <c r="Y14" i="1" s="1"/>
  <c r="X7" i="1"/>
  <c r="Y7" i="1" s="1"/>
  <c r="X6" i="1"/>
  <c r="Y6" i="1" s="1"/>
  <c r="I28" i="1" l="1"/>
  <c r="X16" i="1"/>
  <c r="X22" i="1" s="1"/>
  <c r="Y16" i="1"/>
  <c r="Y22" i="1" l="1"/>
  <c r="X28" i="1"/>
  <c r="Y28" i="1" s="1"/>
</calcChain>
</file>

<file path=xl/sharedStrings.xml><?xml version="1.0" encoding="utf-8"?>
<sst xmlns="http://schemas.openxmlformats.org/spreadsheetml/2006/main" count="122" uniqueCount="60">
  <si>
    <t>Liczba punktów poboru</t>
  </si>
  <si>
    <t>Liczba miesięcy</t>
  </si>
  <si>
    <t>Liczba dni</t>
  </si>
  <si>
    <t>Oddział dystrybucji</t>
  </si>
  <si>
    <t>nd.</t>
  </si>
  <si>
    <t>SUMA:</t>
  </si>
  <si>
    <r>
      <t xml:space="preserve">Stawka opłaty zmiennej 
</t>
    </r>
    <r>
      <rPr>
        <sz val="9"/>
        <rFont val="Calibri"/>
        <family val="2"/>
        <charset val="238"/>
        <scheme val="minor"/>
      </rPr>
      <t>[gr/kWh]</t>
    </r>
  </si>
  <si>
    <r>
      <t xml:space="preserve">Moc umowna
</t>
    </r>
    <r>
      <rPr>
        <sz val="9"/>
        <rFont val="Calibri"/>
        <family val="2"/>
        <charset val="238"/>
        <scheme val="minor"/>
      </rPr>
      <t>[kWh/h]</t>
    </r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</si>
  <si>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[kWh]</t>
    </r>
  </si>
  <si>
    <t>Cena za paliwo gazowe [zł netto]</t>
  </si>
  <si>
    <t>Cena za usługi dystrybucyjne [zł netto]**</t>
  </si>
  <si>
    <t>CENA OFERTY 
[zł netto]</t>
  </si>
  <si>
    <t>CENA OFERTY 
[zł brutto]</t>
  </si>
  <si>
    <t>Załącznik nr 3 do SWZ - Formularz cenowy</t>
  </si>
  <si>
    <t>Stawka podatku VAT</t>
  </si>
  <si>
    <t>Okres dostawy</t>
  </si>
  <si>
    <t>Grupa taryfowa OSD</t>
  </si>
  <si>
    <t>Grupa taryfowa sprzedawcy</t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</si>
  <si>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</si>
  <si>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 objęte ochroną taryfową,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</si>
  <si>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zwolnione z akcyzy</t>
    </r>
    <r>
      <rPr>
        <sz val="9"/>
        <rFont val="Calibri"/>
        <family val="2"/>
        <charset val="238"/>
        <scheme val="minor"/>
      </rPr>
      <t xml:space="preserve"> 
[kWh]</t>
    </r>
  </si>
  <si>
    <r>
      <rPr>
        <b/>
        <sz val="9"/>
        <rFont val="Calibri"/>
        <family val="2"/>
        <charset val="238"/>
        <scheme val="minor"/>
      </rPr>
      <t>Szacunkowe zapotrzebowanie na paliwo gazowe, którego nie obejmuje ochrona taryfowa, opodatkowane akcyzą 1,38 zł/GJ</t>
    </r>
    <r>
      <rPr>
        <sz val="9"/>
        <rFont val="Calibri"/>
        <family val="2"/>
        <charset val="238"/>
        <scheme val="minor"/>
      </rPr>
      <t xml:space="preserve">
[kWh]</t>
    </r>
  </si>
  <si>
    <r>
      <rPr>
        <b/>
        <sz val="9"/>
        <rFont val="Calibri"/>
        <family val="2"/>
        <charset val="238"/>
        <scheme val="minor"/>
      </rPr>
      <t xml:space="preserve">Cena jednostkowa za paliwo gazowe, którego nie obejmuje ochrona taryfowa,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</si>
  <si>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r>
      <rPr>
        <b/>
        <sz val="9"/>
        <rFont val="Calibri"/>
        <family val="2"/>
        <charset val="238"/>
        <scheme val="minor"/>
      </rPr>
      <t>Łączny koszt paliwa gazowego</t>
    </r>
    <r>
      <rPr>
        <sz val="9"/>
        <rFont val="Calibri"/>
        <family val="2"/>
        <charset val="238"/>
        <scheme val="minor"/>
      </rPr>
      <t xml:space="preserve"> (zł)
(kol. 5 × kol. 13) /100 + (kol. 6 × kol. 14) /100 + (kol. 7 × kol. 15) /100 + (kol. 8 × kol. 16) /100 + (kol. 3 × kol. 10 × kol. 17)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</si>
  <si>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Stawka opłaty stałej </t>
    </r>
    <r>
      <rPr>
        <sz val="9"/>
        <rFont val="Calibri"/>
        <family val="2"/>
        <charset val="238"/>
        <scheme val="minor"/>
      </rPr>
      <t xml:space="preserve">
a) [zł/mc] 
dla grup taryfowych z ozn. 
W-1, W-2, W-3, W-4
b) [gr/(kWh/h) za h]
dla grup taryfowych z ozn. 
W-5, W-6</t>
    </r>
  </si>
  <si>
    <r>
      <rPr>
        <b/>
        <sz val="9"/>
        <rFont val="Calibri"/>
        <family val="2"/>
        <charset val="238"/>
        <scheme val="minor"/>
      </rPr>
      <t>Łącznie opłata stała</t>
    </r>
    <r>
      <rPr>
        <sz val="9"/>
        <rFont val="Calibri"/>
        <family val="2"/>
        <charset val="238"/>
        <scheme val="minor"/>
      </rPr>
      <t xml:space="preserve"> (zł)
a) (kol. 3 × kol. 10 × kol. 19) 
dla grup taryfowych z ozn.
W-1, W-2, W-3, W-4
b) (kol. 4 × kol. 11 × 24 h × kol. 19) /100 
dla grup taryfowych z ozn.
W-5, W-6
</t>
    </r>
    <r>
      <rPr>
        <i/>
        <sz val="9"/>
        <rFont val="Calibri"/>
        <family val="2"/>
        <charset val="238"/>
        <scheme val="minor"/>
      </rPr>
      <t xml:space="preserve">
(zaokrąglenie do 2 
miejsc po przecinku)</t>
    </r>
  </si>
  <si>
    <r>
      <rPr>
        <b/>
        <sz val="9"/>
        <rFont val="Calibri"/>
        <family val="2"/>
        <charset val="238"/>
        <scheme val="minor"/>
      </rPr>
      <t>Łącznie opłata zmienna</t>
    </r>
    <r>
      <rPr>
        <sz val="9"/>
        <rFont val="Calibri"/>
        <family val="2"/>
        <charset val="238"/>
        <scheme val="minor"/>
      </rPr>
      <t xml:space="preserve"> (zł)
(kol. 9 × kol. 21) /100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</si>
  <si>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>Łączny koszt usługi dystrybucji</t>
    </r>
    <r>
      <rPr>
        <sz val="9"/>
        <rFont val="Calibri"/>
        <family val="2"/>
        <charset val="238"/>
        <scheme val="minor"/>
      </rPr>
      <t xml:space="preserve"> (zł)
(kol. 20 + kol. 22)</t>
    </r>
  </si>
  <si>
    <t>(suma kol. 18 
+ kol. 23)</t>
  </si>
  <si>
    <r>
      <t xml:space="preserve">((kol. 24) 
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</si>
  <si>
    <r>
      <rPr>
        <b/>
        <sz val="9"/>
        <rFont val="Calibri"/>
        <family val="2"/>
        <charset val="238"/>
        <scheme val="minor"/>
      </rPr>
      <t xml:space="preserve">Cena jednostkowa za paliwo gazowe objęte ochroną taryfową**, bez akcyzy
</t>
    </r>
    <r>
      <rPr>
        <sz val="9"/>
        <rFont val="Calibri"/>
        <family val="2"/>
        <charset val="238"/>
        <scheme val="minor"/>
      </rPr>
      <t xml:space="preserve">[gr/kWh]
</t>
    </r>
    <r>
      <rPr>
        <i/>
        <sz val="9"/>
        <rFont val="Calibri"/>
        <family val="2"/>
        <charset val="238"/>
        <scheme val="minor"/>
      </rPr>
      <t>(z dokładnością
do 3 miejsc 
po przecinku)</t>
    </r>
  </si>
  <si>
    <t>tak</t>
  </si>
  <si>
    <r>
      <t xml:space="preserve">*Stawkę podatku akcyzowego 1,38 zł/GJ, która ma zastosowanie dla części zużycia paliwa gazowego przeznaczonej na cele opałowe (z wyłączeniem celów objętych zwolnieniem), przeliczono na gr/kWh zgodnie z obowiązującymi zasadami [Art. 89 ust. 1 pkt 13 oraz Art. 88 ust. 7 pkt 4 lit. a </t>
    </r>
    <r>
      <rPr>
        <i/>
        <sz val="12"/>
        <rFont val="Calibri"/>
        <family val="2"/>
        <charset val="238"/>
        <scheme val="minor"/>
      </rPr>
      <t>Ustawy o podatku akcyzowym</t>
    </r>
    <r>
      <rPr>
        <sz val="12"/>
        <rFont val="Calibri"/>
        <family val="2"/>
        <charset val="238"/>
        <scheme val="minor"/>
      </rPr>
      <t>] oraz przyjmując standardową wartość ciepła spalania 39,5 MJ/m3 dla gazu E oraz 28,8 MJ/m3 dla gazu Ls.</t>
    </r>
  </si>
  <si>
    <r>
      <rPr>
        <b/>
        <sz val="9"/>
        <rFont val="Calibri"/>
        <family val="2"/>
        <charset val="238"/>
        <scheme val="minor"/>
      </rPr>
      <t>Opłata handlowa/abonament</t>
    </r>
    <r>
      <rPr>
        <sz val="9"/>
        <rFont val="Calibri"/>
        <family val="2"/>
        <charset val="238"/>
        <scheme val="minor"/>
      </rPr>
      <t xml:space="preserve">
[zł/PPG/mc]
</t>
    </r>
    <r>
      <rPr>
        <i/>
        <sz val="9"/>
        <rFont val="Calibri"/>
        <family val="2"/>
        <charset val="238"/>
        <scheme val="minor"/>
      </rPr>
      <t>(z dokładnością do 2 miejsc po przecinku)</t>
    </r>
  </si>
  <si>
    <t>(B)W-5</t>
  </si>
  <si>
    <t>(B)W-3.12T</t>
  </si>
  <si>
    <t>Czy dane punkty poboru podlegają pełnej lub częściowej ochronie taryfowej</t>
  </si>
  <si>
    <t>** Stawki opłat dystrybucyjnych wskazane w niniejszym formularzu oraz stawki paliwa gazowego dla odbiorców chronionych służą porównaniu ofert, natomiast Zamawiający dopuszcza, że mogą one ulec zmianie oraz że rzeczywiste rozliczenia w powyższym zakresie będą prowadzone na podstawie zasad, cen i stawek opłat określonych w taryfach obowiązujących w okresie dostawy.</t>
  </si>
  <si>
    <r>
      <t xml:space="preserve">Cena jednostkowa za paliwo gazowe objęte ochroną taryfową**, z akcyzą*
</t>
    </r>
    <r>
      <rPr>
        <sz val="9"/>
        <rFont val="Calibri"/>
        <family val="2"/>
        <charset val="238"/>
        <scheme val="minor"/>
      </rPr>
      <t>[gr/kWh]
a) (kol. 13 + 0,390)
dla grup taryfowych W
b) (kol. 13 + 0,414)
dla grup taryfowych Ls</t>
    </r>
  </si>
  <si>
    <r>
      <t xml:space="preserve">Cena jednostkowa za paliwo gazowe, którego nie obejmuje ochrona taryfowa, z akcyzą*
</t>
    </r>
    <r>
      <rPr>
        <sz val="9"/>
        <rFont val="Calibri"/>
        <family val="2"/>
        <charset val="238"/>
        <scheme val="minor"/>
      </rPr>
      <t>[gr/kWh]
a) (kol. 15 + 0,390)
dla grup taryfowych W
b) (kol. 15 + 0,414)
dla grup taryfowych Ls</t>
    </r>
  </si>
  <si>
    <t>W-1.1_TA</t>
  </si>
  <si>
    <t>(B)W-1.12T</t>
  </si>
  <si>
    <t>PSG Sp. z o.o. - Tarnów</t>
  </si>
  <si>
    <t>W-2.1_TA</t>
  </si>
  <si>
    <t>(B)W-2.12T</t>
  </si>
  <si>
    <t>W-3.6_TA</t>
  </si>
  <si>
    <t>(B)W-4</t>
  </si>
  <si>
    <t>W-4_TA</t>
  </si>
  <si>
    <t>W-5.1_TA</t>
  </si>
  <si>
    <t>nie</t>
  </si>
  <si>
    <t>W-3.9_TA</t>
  </si>
  <si>
    <t>Tabela B: Prawo opcji, 20% wartości zamówienia podstawowego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</si>
  <si>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(20% × suma kol. 9 z Tabeli A)
[kWh]</t>
    </r>
  </si>
  <si>
    <t>(suma kol. 24 z Tabeli A / suma kol. 9 z Tabeli A) × kol. 9 z Tabeli B</t>
  </si>
  <si>
    <t>Tabela C: Suma wartości zamówienia podstawowego oraz prawa opcji</t>
  </si>
  <si>
    <t>(suma z kol. 24 z Tabeli A + kol. 24 z Tabeli B)</t>
  </si>
  <si>
    <t>Tabela A: Zamówienie podstawowe</t>
  </si>
  <si>
    <t>01.01.2026 – 31.12.2027</t>
  </si>
  <si>
    <r>
      <rPr>
        <b/>
        <sz val="9"/>
        <rFont val="Calibri"/>
        <family val="2"/>
        <charset val="238"/>
        <scheme val="minor"/>
      </rPr>
      <t>Szacunkowe zapotrzebowanie na paliwo gazowe łącznie</t>
    </r>
    <r>
      <rPr>
        <sz val="9"/>
        <rFont val="Calibri"/>
        <family val="2"/>
        <charset val="238"/>
        <scheme val="minor"/>
      </rPr>
      <t xml:space="preserve"> 
(suma z kol. 9 z Tabeli A + kol. 9 z Tabeli B) 
[kWh]</t>
    </r>
  </si>
  <si>
    <r>
      <t xml:space="preserve">((kol. 24) × (1 + kol. 26))
</t>
    </r>
    <r>
      <rPr>
        <i/>
        <sz val="9"/>
        <rFont val="Calibri"/>
        <family val="2"/>
        <charset val="238"/>
        <scheme val="minor"/>
      </rPr>
      <t>(zaokrąglenie do 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</si>
</sst>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000"/>
  </numFmts>
  <fonts count="8" x14ac:knownFonts="1">
    <font>
      <sz val="11"/>
      <color theme="1"/>
      <name val="Calibri"/>
      <family val="2"/>
      <scheme val="minor"/>
    </font>
    <font>
      <b/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i/>
      <sz val="12"/>
      <name val="Calibri"/>
      <family val="2"/>
      <charset val="238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4" fontId="3" fillId="4" borderId="1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1" fillId="5" borderId="9" xfId="0" applyFont="1" applyFill="1" applyBorder="1" applyAlignment="1">
      <alignment horizontal="left" vertical="center"/>
    </xf>
    <xf numFmtId="0" fontId="1" fillId="5" borderId="10" xfId="0" applyFont="1" applyFill="1" applyBorder="1" applyAlignment="1">
      <alignment horizontal="center" vertical="center"/>
    </xf>
    <xf numFmtId="49" fontId="3" fillId="0" borderId="1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1" fillId="5" borderId="13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12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justify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56"/>
  <sheetViews>
    <sheetView tabSelected="1" zoomScale="85" zoomScaleNormal="85" workbookViewId="0">
      <selection activeCell="G16" sqref="G16"/>
    </sheetView>
  </sheetViews>
  <sheetFormatPr defaultRowHeight="14.4" x14ac:dyDescent="0.3"/>
  <cols>
    <col min="1" max="2" width="10.5546875" style="9" customWidth="1"/>
    <col min="3" max="3" width="9.6640625" style="9" customWidth="1"/>
    <col min="4" max="4" width="7.109375" style="9" customWidth="1"/>
    <col min="5" max="8" width="19.6640625" style="9" customWidth="1"/>
    <col min="9" max="9" width="22.6640625" style="9" customWidth="1"/>
    <col min="10" max="10" width="10" style="9" customWidth="1"/>
    <col min="11" max="11" width="8.21875" style="9" bestFit="1" customWidth="1"/>
    <col min="12" max="12" width="20.88671875" style="9" customWidth="1"/>
    <col min="13" max="13" width="15.88671875" style="9" customWidth="1"/>
    <col min="14" max="14" width="19.77734375" style="9" customWidth="1"/>
    <col min="15" max="15" width="15.88671875" style="9" customWidth="1"/>
    <col min="16" max="16" width="19.21875" style="9" customWidth="1"/>
    <col min="17" max="17" width="12.33203125" style="9" customWidth="1"/>
    <col min="18" max="18" width="17.88671875" style="9" customWidth="1"/>
    <col min="19" max="19" width="20" style="9" customWidth="1"/>
    <col min="20" max="20" width="22.109375" style="9" customWidth="1"/>
    <col min="21" max="21" width="12.109375" style="9" customWidth="1"/>
    <col min="22" max="22" width="15.33203125" style="9" customWidth="1"/>
    <col min="23" max="23" width="13.33203125" style="9" customWidth="1"/>
    <col min="24" max="24" width="21.33203125" style="9" customWidth="1"/>
    <col min="25" max="25" width="19.21875" style="9" customWidth="1"/>
    <col min="26" max="26" width="7.88671875" customWidth="1"/>
    <col min="27" max="27" width="20.33203125" customWidth="1"/>
    <col min="28" max="28" width="16.5546875" customWidth="1"/>
    <col min="29" max="29" width="9.88671875" bestFit="1" customWidth="1"/>
  </cols>
  <sheetData>
    <row r="1" spans="1:28" ht="15.75" customHeight="1" x14ac:dyDescent="0.3">
      <c r="A1" s="27" t="s">
        <v>13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9"/>
    </row>
    <row r="2" spans="1:28" ht="15.75" customHeight="1" x14ac:dyDescent="0.3">
      <c r="A2" s="22" t="s">
        <v>56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6"/>
    </row>
    <row r="3" spans="1:28" ht="24" customHeight="1" x14ac:dyDescent="0.3">
      <c r="A3" s="31" t="s">
        <v>16</v>
      </c>
      <c r="B3" s="32" t="s">
        <v>17</v>
      </c>
      <c r="C3" s="31" t="s">
        <v>0</v>
      </c>
      <c r="D3" s="31" t="s">
        <v>7</v>
      </c>
      <c r="E3" s="34" t="s">
        <v>18</v>
      </c>
      <c r="F3" s="34" t="s">
        <v>19</v>
      </c>
      <c r="G3" s="34" t="s">
        <v>20</v>
      </c>
      <c r="H3" s="34" t="s">
        <v>21</v>
      </c>
      <c r="I3" s="34" t="s">
        <v>8</v>
      </c>
      <c r="J3" s="31" t="s">
        <v>1</v>
      </c>
      <c r="K3" s="31" t="s">
        <v>2</v>
      </c>
      <c r="L3" s="31" t="s">
        <v>3</v>
      </c>
      <c r="M3" s="30" t="s">
        <v>9</v>
      </c>
      <c r="N3" s="30"/>
      <c r="O3" s="30"/>
      <c r="P3" s="30"/>
      <c r="Q3" s="30"/>
      <c r="R3" s="30"/>
      <c r="S3" s="30" t="s">
        <v>10</v>
      </c>
      <c r="T3" s="30"/>
      <c r="U3" s="30"/>
      <c r="V3" s="30"/>
      <c r="W3" s="30"/>
      <c r="X3" s="1" t="s">
        <v>11</v>
      </c>
      <c r="Y3" s="1" t="s">
        <v>12</v>
      </c>
      <c r="Z3" s="1"/>
      <c r="AA3" s="12"/>
      <c r="AB3" s="12"/>
    </row>
    <row r="4" spans="1:28" ht="144" x14ac:dyDescent="0.3">
      <c r="A4" s="31"/>
      <c r="B4" s="33"/>
      <c r="C4" s="31"/>
      <c r="D4" s="31"/>
      <c r="E4" s="34"/>
      <c r="F4" s="34"/>
      <c r="G4" s="34"/>
      <c r="H4" s="34"/>
      <c r="I4" s="34"/>
      <c r="J4" s="31"/>
      <c r="K4" s="31"/>
      <c r="L4" s="31"/>
      <c r="M4" s="17" t="s">
        <v>30</v>
      </c>
      <c r="N4" s="16" t="s">
        <v>38</v>
      </c>
      <c r="O4" s="17" t="s">
        <v>22</v>
      </c>
      <c r="P4" s="16" t="s">
        <v>39</v>
      </c>
      <c r="Q4" s="17" t="s">
        <v>33</v>
      </c>
      <c r="R4" s="17" t="s">
        <v>23</v>
      </c>
      <c r="S4" s="17" t="s">
        <v>24</v>
      </c>
      <c r="T4" s="17" t="s">
        <v>25</v>
      </c>
      <c r="U4" s="16" t="s">
        <v>6</v>
      </c>
      <c r="V4" s="17" t="s">
        <v>26</v>
      </c>
      <c r="W4" s="17" t="s">
        <v>27</v>
      </c>
      <c r="X4" s="17" t="s">
        <v>28</v>
      </c>
      <c r="Y4" s="17" t="s">
        <v>29</v>
      </c>
      <c r="Z4" s="17" t="s">
        <v>14</v>
      </c>
      <c r="AA4" s="13" t="s">
        <v>15</v>
      </c>
      <c r="AB4" s="13" t="s">
        <v>36</v>
      </c>
    </row>
    <row r="5" spans="1:28" ht="12.75" customHeight="1" x14ac:dyDescent="0.3">
      <c r="A5" s="2" t="str">
        <f>"-1-"</f>
        <v>-1-</v>
      </c>
      <c r="B5" s="2" t="str">
        <f>"-2-"</f>
        <v>-2-</v>
      </c>
      <c r="C5" s="2" t="str">
        <f>"-3-"</f>
        <v>-3-</v>
      </c>
      <c r="D5" s="2" t="str">
        <f>"-4-"</f>
        <v>-4-</v>
      </c>
      <c r="E5" s="2" t="str">
        <f>"-5-"</f>
        <v>-5-</v>
      </c>
      <c r="F5" s="2" t="str">
        <f>"-6-"</f>
        <v>-6-</v>
      </c>
      <c r="G5" s="2" t="str">
        <f>"-7-"</f>
        <v>-7-</v>
      </c>
      <c r="H5" s="2" t="str">
        <f>"-8-"</f>
        <v>-8-</v>
      </c>
      <c r="I5" s="2" t="str">
        <f>"-9-"</f>
        <v>-9-</v>
      </c>
      <c r="J5" s="2" t="str">
        <f>"-10-"</f>
        <v>-10-</v>
      </c>
      <c r="K5" s="2" t="str">
        <f>"-11-"</f>
        <v>-11-</v>
      </c>
      <c r="L5" s="2" t="str">
        <f>"-12-"</f>
        <v>-12-</v>
      </c>
      <c r="M5" s="2" t="str">
        <f>"-13-"</f>
        <v>-13-</v>
      </c>
      <c r="N5" s="2" t="str">
        <f>"-14-"</f>
        <v>-14-</v>
      </c>
      <c r="O5" s="2" t="str">
        <f>"-15-"</f>
        <v>-15-</v>
      </c>
      <c r="P5" s="2" t="str">
        <f>"-16-"</f>
        <v>-16-</v>
      </c>
      <c r="Q5" s="2" t="str">
        <f>"-17-"</f>
        <v>-17-</v>
      </c>
      <c r="R5" s="2" t="str">
        <f>"-18-"</f>
        <v>-18-</v>
      </c>
      <c r="S5" s="2" t="str">
        <f>"-19-"</f>
        <v>-19-</v>
      </c>
      <c r="T5" s="2" t="str">
        <f>"-20-"</f>
        <v>-20-</v>
      </c>
      <c r="U5" s="2" t="str">
        <f>"-21-"</f>
        <v>-21-</v>
      </c>
      <c r="V5" s="14" t="str">
        <f>"-22-"</f>
        <v>-22-</v>
      </c>
      <c r="W5" s="2" t="str">
        <f>"-23-"</f>
        <v>-23-</v>
      </c>
      <c r="X5" s="2" t="str">
        <f>"-24-"</f>
        <v>-24-</v>
      </c>
      <c r="Y5" s="2" t="str">
        <f>"-25-"</f>
        <v>-25-</v>
      </c>
      <c r="Z5" s="2" t="str">
        <f>"-26-"</f>
        <v>-26-</v>
      </c>
      <c r="AA5" s="2" t="str">
        <f>"-27-"</f>
        <v>-27-</v>
      </c>
      <c r="AB5" s="2" t="str">
        <f>"-28-"</f>
        <v>-28-</v>
      </c>
    </row>
    <row r="6" spans="1:28" ht="22.2" customHeight="1" x14ac:dyDescent="0.3">
      <c r="A6" s="2" t="s">
        <v>40</v>
      </c>
      <c r="B6" s="2" t="s">
        <v>41</v>
      </c>
      <c r="C6" s="2">
        <v>3</v>
      </c>
      <c r="D6" s="3" t="s">
        <v>4</v>
      </c>
      <c r="E6" s="4">
        <v>0</v>
      </c>
      <c r="F6" s="4">
        <v>0</v>
      </c>
      <c r="G6" s="4">
        <v>6912</v>
      </c>
      <c r="H6" s="4">
        <v>0</v>
      </c>
      <c r="I6" s="4">
        <v>6912</v>
      </c>
      <c r="J6" s="4">
        <v>24</v>
      </c>
      <c r="K6" s="4" t="s">
        <v>4</v>
      </c>
      <c r="L6" s="5" t="s">
        <v>42</v>
      </c>
      <c r="M6" s="18"/>
      <c r="N6" s="6" t="str">
        <f t="shared" ref="N6" si="0">IF(ROUND(M6,3)=0,"",ROUND(M6,3)+0.39)</f>
        <v/>
      </c>
      <c r="O6" s="18"/>
      <c r="P6" s="6" t="str">
        <f t="shared" ref="P6" si="1">IF(ROUND(O6,3)=0,"",ROUND(O6,3)+0.39)</f>
        <v/>
      </c>
      <c r="Q6" s="19"/>
      <c r="R6" s="7" t="str">
        <f>IFERROR(IF(ROUND(M6,3)&gt;0,ROUND(E6*ROUND(M6,3)/100+F6*N6/100
+G6*ROUND(O6,3)/100+H6*P6/100
+ROUND(Q6,2)*J6*C6,2),""),"")</f>
        <v/>
      </c>
      <c r="S6" s="8">
        <v>5.74</v>
      </c>
      <c r="T6" s="7">
        <f t="shared" ref="T6" si="2">ROUND(IF(D6="nd.",C6*S6*J6,(K6*24*D6*S6)/100),2)</f>
        <v>413.28</v>
      </c>
      <c r="U6" s="8">
        <v>8.4369999999999994</v>
      </c>
      <c r="V6" s="7">
        <f t="shared" ref="V6" si="3">ROUND(U6*I6/100,2)</f>
        <v>583.16999999999996</v>
      </c>
      <c r="W6" s="7">
        <f t="shared" ref="W6" si="4">T6+V6</f>
        <v>996.44999999999993</v>
      </c>
      <c r="X6" s="7" t="str">
        <f t="shared" ref="X6" si="5">IF(M6&gt;0,R6+W6,"")</f>
        <v/>
      </c>
      <c r="Y6" s="7" t="str">
        <f t="shared" ref="Y6" si="6">IF(M6&gt;0,ROUND(X6*(1+Z6),2),"")</f>
        <v/>
      </c>
      <c r="Z6" s="15">
        <f>23%</f>
        <v>0.23</v>
      </c>
      <c r="AA6" s="14" t="s">
        <v>57</v>
      </c>
      <c r="AB6" s="14" t="s">
        <v>49</v>
      </c>
    </row>
    <row r="7" spans="1:28" ht="22.2" customHeight="1" x14ac:dyDescent="0.3">
      <c r="A7" s="2" t="s">
        <v>43</v>
      </c>
      <c r="B7" s="2" t="s">
        <v>44</v>
      </c>
      <c r="C7" s="2">
        <v>9</v>
      </c>
      <c r="D7" s="3" t="s">
        <v>4</v>
      </c>
      <c r="E7" s="4">
        <v>0</v>
      </c>
      <c r="F7" s="4">
        <v>0</v>
      </c>
      <c r="G7" s="4">
        <v>90348</v>
      </c>
      <c r="H7" s="4">
        <v>55848</v>
      </c>
      <c r="I7" s="4">
        <v>146196</v>
      </c>
      <c r="J7" s="4">
        <v>24</v>
      </c>
      <c r="K7" s="4" t="s">
        <v>4</v>
      </c>
      <c r="L7" s="5" t="s">
        <v>42</v>
      </c>
      <c r="M7" s="18"/>
      <c r="N7" s="6" t="str">
        <f t="shared" ref="N7:N15" si="7">IF(ROUND(M7,3)=0,"",ROUND(M7,3)+0.39)</f>
        <v/>
      </c>
      <c r="O7" s="18"/>
      <c r="P7" s="6" t="str">
        <f t="shared" ref="P7:P15" si="8">IF(ROUND(O7,3)=0,"",ROUND(O7,3)+0.39)</f>
        <v/>
      </c>
      <c r="Q7" s="19"/>
      <c r="R7" s="7" t="str">
        <f t="shared" ref="R7:R15" si="9">IFERROR(IF(ROUND(M7,3)&gt;0,ROUND(E7*ROUND(M7,3)/100+F7*N7/100
+G7*ROUND(O7,3)/100+H7*P7/100
+ROUND(Q7,2)*J7*C7,2),""),"")</f>
        <v/>
      </c>
      <c r="S7" s="8">
        <v>14.59</v>
      </c>
      <c r="T7" s="7">
        <f t="shared" ref="T7:T15" si="10">ROUND(IF(D7="nd.",C7*S7*J7,(K7*24*D7*S7)/100),2)</f>
        <v>3151.44</v>
      </c>
      <c r="U7" s="8">
        <v>6.1369999999999996</v>
      </c>
      <c r="V7" s="7">
        <f t="shared" ref="V7:V15" si="11">ROUND(U7*I7/100,2)</f>
        <v>8972.0499999999993</v>
      </c>
      <c r="W7" s="7">
        <f t="shared" ref="W7:W15" si="12">T7+V7</f>
        <v>12123.49</v>
      </c>
      <c r="X7" s="7" t="str">
        <f t="shared" ref="X7:X15" si="13">IF(M7&gt;0,R7+W7,"")</f>
        <v/>
      </c>
      <c r="Y7" s="7" t="str">
        <f t="shared" ref="Y7:Y15" si="14">IF(M7&gt;0,ROUND(X7*(1+Z7),2),"")</f>
        <v/>
      </c>
      <c r="Z7" s="15">
        <f>23%</f>
        <v>0.23</v>
      </c>
      <c r="AA7" s="14" t="s">
        <v>57</v>
      </c>
      <c r="AB7" s="14" t="s">
        <v>49</v>
      </c>
    </row>
    <row r="8" spans="1:28" ht="22.2" customHeight="1" x14ac:dyDescent="0.3">
      <c r="A8" s="2" t="s">
        <v>45</v>
      </c>
      <c r="B8" s="2" t="s">
        <v>35</v>
      </c>
      <c r="C8" s="2">
        <v>23</v>
      </c>
      <c r="D8" s="3" t="s">
        <v>4</v>
      </c>
      <c r="E8" s="4">
        <v>0</v>
      </c>
      <c r="F8" s="4">
        <v>0</v>
      </c>
      <c r="G8" s="4">
        <v>1381840</v>
      </c>
      <c r="H8" s="4">
        <v>442766</v>
      </c>
      <c r="I8" s="4">
        <v>1824606</v>
      </c>
      <c r="J8" s="4">
        <v>24</v>
      </c>
      <c r="K8" s="4" t="s">
        <v>4</v>
      </c>
      <c r="L8" s="5" t="s">
        <v>42</v>
      </c>
      <c r="M8" s="18"/>
      <c r="N8" s="6" t="str">
        <f t="shared" si="7"/>
        <v/>
      </c>
      <c r="O8" s="18"/>
      <c r="P8" s="6" t="str">
        <f t="shared" si="8"/>
        <v/>
      </c>
      <c r="Q8" s="19"/>
      <c r="R8" s="7" t="str">
        <f t="shared" si="9"/>
        <v/>
      </c>
      <c r="S8" s="8">
        <v>56.37</v>
      </c>
      <c r="T8" s="7">
        <f t="shared" si="10"/>
        <v>31116.240000000002</v>
      </c>
      <c r="U8" s="8">
        <v>4.6020000000000003</v>
      </c>
      <c r="V8" s="7">
        <f t="shared" si="11"/>
        <v>83968.37</v>
      </c>
      <c r="W8" s="7">
        <f t="shared" si="12"/>
        <v>115084.61</v>
      </c>
      <c r="X8" s="7" t="str">
        <f t="shared" si="13"/>
        <v/>
      </c>
      <c r="Y8" s="7" t="str">
        <f t="shared" si="14"/>
        <v/>
      </c>
      <c r="Z8" s="15">
        <f>23%</f>
        <v>0.23</v>
      </c>
      <c r="AA8" s="14" t="s">
        <v>57</v>
      </c>
      <c r="AB8" s="14" t="s">
        <v>49</v>
      </c>
    </row>
    <row r="9" spans="1:28" ht="22.2" customHeight="1" x14ac:dyDescent="0.3">
      <c r="A9" s="2" t="s">
        <v>50</v>
      </c>
      <c r="B9" s="2" t="s">
        <v>35</v>
      </c>
      <c r="C9" s="2">
        <v>1</v>
      </c>
      <c r="D9" s="3" t="s">
        <v>4</v>
      </c>
      <c r="E9" s="4">
        <v>0</v>
      </c>
      <c r="F9" s="4">
        <v>0</v>
      </c>
      <c r="G9" s="4">
        <v>95628</v>
      </c>
      <c r="H9" s="4">
        <v>0</v>
      </c>
      <c r="I9" s="4">
        <v>95628</v>
      </c>
      <c r="J9" s="4">
        <v>24</v>
      </c>
      <c r="K9" s="4" t="s">
        <v>4</v>
      </c>
      <c r="L9" s="5" t="s">
        <v>42</v>
      </c>
      <c r="M9" s="18"/>
      <c r="N9" s="6" t="str">
        <f t="shared" si="7"/>
        <v/>
      </c>
      <c r="O9" s="18"/>
      <c r="P9" s="6" t="str">
        <f t="shared" si="8"/>
        <v/>
      </c>
      <c r="Q9" s="19"/>
      <c r="R9" s="7" t="str">
        <f t="shared" si="9"/>
        <v/>
      </c>
      <c r="S9" s="8">
        <v>60.55</v>
      </c>
      <c r="T9" s="7">
        <f t="shared" si="10"/>
        <v>1453.2</v>
      </c>
      <c r="U9" s="8">
        <v>4.6020000000000003</v>
      </c>
      <c r="V9" s="7">
        <f t="shared" si="11"/>
        <v>4400.8</v>
      </c>
      <c r="W9" s="7">
        <f t="shared" si="12"/>
        <v>5854</v>
      </c>
      <c r="X9" s="7" t="str">
        <f t="shared" si="13"/>
        <v/>
      </c>
      <c r="Y9" s="7" t="str">
        <f t="shared" si="14"/>
        <v/>
      </c>
      <c r="Z9" s="15">
        <f>23%</f>
        <v>0.23</v>
      </c>
      <c r="AA9" s="14" t="s">
        <v>57</v>
      </c>
      <c r="AB9" s="14" t="s">
        <v>49</v>
      </c>
    </row>
    <row r="10" spans="1:28" ht="22.2" customHeight="1" x14ac:dyDescent="0.3">
      <c r="A10" s="2" t="s">
        <v>48</v>
      </c>
      <c r="B10" s="2" t="s">
        <v>34</v>
      </c>
      <c r="C10" s="2">
        <v>2</v>
      </c>
      <c r="D10" s="3">
        <v>679</v>
      </c>
      <c r="E10" s="4">
        <v>0</v>
      </c>
      <c r="F10" s="4">
        <v>0</v>
      </c>
      <c r="G10" s="4">
        <v>1760000</v>
      </c>
      <c r="H10" s="4">
        <v>201530</v>
      </c>
      <c r="I10" s="4">
        <v>1961530</v>
      </c>
      <c r="J10" s="4">
        <v>24</v>
      </c>
      <c r="K10" s="4">
        <v>730</v>
      </c>
      <c r="L10" s="5" t="s">
        <v>42</v>
      </c>
      <c r="M10" s="18"/>
      <c r="N10" s="6" t="str">
        <f t="shared" si="7"/>
        <v/>
      </c>
      <c r="O10" s="18"/>
      <c r="P10" s="6" t="str">
        <f t="shared" si="8"/>
        <v/>
      </c>
      <c r="Q10" s="19"/>
      <c r="R10" s="7" t="str">
        <f t="shared" si="9"/>
        <v/>
      </c>
      <c r="S10" s="8">
        <v>0.81599999999999995</v>
      </c>
      <c r="T10" s="7">
        <f t="shared" si="10"/>
        <v>97072.01</v>
      </c>
      <c r="U10" s="8">
        <v>4.0890000000000004</v>
      </c>
      <c r="V10" s="7">
        <f t="shared" si="11"/>
        <v>80206.960000000006</v>
      </c>
      <c r="W10" s="7">
        <f t="shared" si="12"/>
        <v>177278.97</v>
      </c>
      <c r="X10" s="7" t="str">
        <f t="shared" si="13"/>
        <v/>
      </c>
      <c r="Y10" s="7" t="str">
        <f t="shared" si="14"/>
        <v/>
      </c>
      <c r="Z10" s="15">
        <f>23%</f>
        <v>0.23</v>
      </c>
      <c r="AA10" s="14" t="s">
        <v>57</v>
      </c>
      <c r="AB10" s="14" t="s">
        <v>49</v>
      </c>
    </row>
    <row r="11" spans="1:28" ht="22.2" customHeight="1" x14ac:dyDescent="0.3">
      <c r="A11" s="2" t="s">
        <v>40</v>
      </c>
      <c r="B11" s="2" t="s">
        <v>41</v>
      </c>
      <c r="C11" s="2">
        <v>36</v>
      </c>
      <c r="D11" s="3" t="s">
        <v>4</v>
      </c>
      <c r="E11" s="4">
        <v>123048</v>
      </c>
      <c r="F11" s="4">
        <v>0</v>
      </c>
      <c r="G11" s="4">
        <v>3360</v>
      </c>
      <c r="H11" s="4">
        <v>0</v>
      </c>
      <c r="I11" s="4">
        <v>126408</v>
      </c>
      <c r="J11" s="4">
        <v>24</v>
      </c>
      <c r="K11" s="4" t="s">
        <v>4</v>
      </c>
      <c r="L11" s="5" t="s">
        <v>42</v>
      </c>
      <c r="M11" s="18"/>
      <c r="N11" s="6" t="str">
        <f t="shared" si="7"/>
        <v/>
      </c>
      <c r="O11" s="18"/>
      <c r="P11" s="6" t="str">
        <f t="shared" si="8"/>
        <v/>
      </c>
      <c r="Q11" s="19"/>
      <c r="R11" s="7" t="str">
        <f t="shared" si="9"/>
        <v/>
      </c>
      <c r="S11" s="8">
        <v>5.74</v>
      </c>
      <c r="T11" s="7">
        <f t="shared" si="10"/>
        <v>4959.3599999999997</v>
      </c>
      <c r="U11" s="8">
        <v>8.4369999999999994</v>
      </c>
      <c r="V11" s="7">
        <f t="shared" si="11"/>
        <v>10665.04</v>
      </c>
      <c r="W11" s="7">
        <f t="shared" si="12"/>
        <v>15624.400000000001</v>
      </c>
      <c r="X11" s="7" t="str">
        <f t="shared" si="13"/>
        <v/>
      </c>
      <c r="Y11" s="7" t="str">
        <f t="shared" si="14"/>
        <v/>
      </c>
      <c r="Z11" s="15">
        <f>23%</f>
        <v>0.23</v>
      </c>
      <c r="AA11" s="14" t="s">
        <v>57</v>
      </c>
      <c r="AB11" s="14" t="s">
        <v>31</v>
      </c>
    </row>
    <row r="12" spans="1:28" ht="22.2" customHeight="1" x14ac:dyDescent="0.3">
      <c r="A12" s="2" t="s">
        <v>43</v>
      </c>
      <c r="B12" s="2" t="s">
        <v>44</v>
      </c>
      <c r="C12" s="2">
        <v>44</v>
      </c>
      <c r="D12" s="3" t="s">
        <v>4</v>
      </c>
      <c r="E12" s="4">
        <v>720943</v>
      </c>
      <c r="F12" s="4">
        <v>0</v>
      </c>
      <c r="G12" s="4">
        <v>35527</v>
      </c>
      <c r="H12" s="4">
        <v>0</v>
      </c>
      <c r="I12" s="4">
        <v>756470</v>
      </c>
      <c r="J12" s="4">
        <v>24</v>
      </c>
      <c r="K12" s="4" t="s">
        <v>4</v>
      </c>
      <c r="L12" s="5" t="s">
        <v>42</v>
      </c>
      <c r="M12" s="18"/>
      <c r="N12" s="6" t="str">
        <f t="shared" si="7"/>
        <v/>
      </c>
      <c r="O12" s="18"/>
      <c r="P12" s="6" t="str">
        <f t="shared" si="8"/>
        <v/>
      </c>
      <c r="Q12" s="19"/>
      <c r="R12" s="7" t="str">
        <f t="shared" si="9"/>
        <v/>
      </c>
      <c r="S12" s="8">
        <v>14.59</v>
      </c>
      <c r="T12" s="7">
        <f t="shared" si="10"/>
        <v>15407.04</v>
      </c>
      <c r="U12" s="8">
        <v>6.1369999999999996</v>
      </c>
      <c r="V12" s="7">
        <f t="shared" si="11"/>
        <v>46424.56</v>
      </c>
      <c r="W12" s="7">
        <f t="shared" si="12"/>
        <v>61831.6</v>
      </c>
      <c r="X12" s="7" t="str">
        <f t="shared" si="13"/>
        <v/>
      </c>
      <c r="Y12" s="7" t="str">
        <f t="shared" si="14"/>
        <v/>
      </c>
      <c r="Z12" s="15">
        <f>23%</f>
        <v>0.23</v>
      </c>
      <c r="AA12" s="14" t="s">
        <v>57</v>
      </c>
      <c r="AB12" s="14" t="s">
        <v>31</v>
      </c>
    </row>
    <row r="13" spans="1:28" ht="22.2" customHeight="1" x14ac:dyDescent="0.3">
      <c r="A13" s="2" t="s">
        <v>45</v>
      </c>
      <c r="B13" s="2" t="s">
        <v>35</v>
      </c>
      <c r="C13" s="2">
        <v>84</v>
      </c>
      <c r="D13" s="3" t="s">
        <v>4</v>
      </c>
      <c r="E13" s="4">
        <v>6407747</v>
      </c>
      <c r="F13" s="4">
        <v>0</v>
      </c>
      <c r="G13" s="4">
        <v>628145</v>
      </c>
      <c r="H13" s="4">
        <v>0</v>
      </c>
      <c r="I13" s="4">
        <v>7035892</v>
      </c>
      <c r="J13" s="4">
        <v>24</v>
      </c>
      <c r="K13" s="4" t="s">
        <v>4</v>
      </c>
      <c r="L13" s="5" t="s">
        <v>42</v>
      </c>
      <c r="M13" s="18"/>
      <c r="N13" s="6" t="str">
        <f t="shared" si="7"/>
        <v/>
      </c>
      <c r="O13" s="18"/>
      <c r="P13" s="6" t="str">
        <f t="shared" si="8"/>
        <v/>
      </c>
      <c r="Q13" s="19"/>
      <c r="R13" s="7" t="str">
        <f t="shared" si="9"/>
        <v/>
      </c>
      <c r="S13" s="8">
        <v>56.37</v>
      </c>
      <c r="T13" s="7">
        <f t="shared" si="10"/>
        <v>113641.92</v>
      </c>
      <c r="U13" s="8">
        <v>4.6020000000000003</v>
      </c>
      <c r="V13" s="7">
        <f t="shared" si="11"/>
        <v>323791.75</v>
      </c>
      <c r="W13" s="7">
        <f t="shared" si="12"/>
        <v>437433.67</v>
      </c>
      <c r="X13" s="7" t="str">
        <f t="shared" si="13"/>
        <v/>
      </c>
      <c r="Y13" s="7" t="str">
        <f t="shared" si="14"/>
        <v/>
      </c>
      <c r="Z13" s="15">
        <f>23%</f>
        <v>0.23</v>
      </c>
      <c r="AA13" s="14" t="s">
        <v>57</v>
      </c>
      <c r="AB13" s="14" t="s">
        <v>31</v>
      </c>
    </row>
    <row r="14" spans="1:28" ht="22.2" customHeight="1" x14ac:dyDescent="0.3">
      <c r="A14" s="2" t="s">
        <v>47</v>
      </c>
      <c r="B14" s="2" t="s">
        <v>46</v>
      </c>
      <c r="C14" s="2">
        <v>23</v>
      </c>
      <c r="D14" s="3" t="s">
        <v>4</v>
      </c>
      <c r="E14" s="4">
        <v>5264962</v>
      </c>
      <c r="F14" s="4">
        <v>0</v>
      </c>
      <c r="G14" s="4">
        <v>881866</v>
      </c>
      <c r="H14" s="4">
        <v>0</v>
      </c>
      <c r="I14" s="4">
        <v>6146828</v>
      </c>
      <c r="J14" s="4">
        <v>24</v>
      </c>
      <c r="K14" s="4" t="s">
        <v>4</v>
      </c>
      <c r="L14" s="5" t="s">
        <v>42</v>
      </c>
      <c r="M14" s="18"/>
      <c r="N14" s="6" t="str">
        <f t="shared" si="7"/>
        <v/>
      </c>
      <c r="O14" s="18"/>
      <c r="P14" s="6" t="str">
        <f t="shared" si="8"/>
        <v/>
      </c>
      <c r="Q14" s="19"/>
      <c r="R14" s="7" t="str">
        <f t="shared" si="9"/>
        <v/>
      </c>
      <c r="S14" s="8">
        <v>314.86</v>
      </c>
      <c r="T14" s="7">
        <f t="shared" si="10"/>
        <v>173802.72</v>
      </c>
      <c r="U14" s="8">
        <v>4.5090000000000003</v>
      </c>
      <c r="V14" s="7">
        <f t="shared" si="11"/>
        <v>277160.46999999997</v>
      </c>
      <c r="W14" s="7">
        <f t="shared" si="12"/>
        <v>450963.18999999994</v>
      </c>
      <c r="X14" s="7" t="str">
        <f t="shared" si="13"/>
        <v/>
      </c>
      <c r="Y14" s="7" t="str">
        <f t="shared" si="14"/>
        <v/>
      </c>
      <c r="Z14" s="15">
        <f>23%</f>
        <v>0.23</v>
      </c>
      <c r="AA14" s="14" t="s">
        <v>57</v>
      </c>
      <c r="AB14" s="14" t="s">
        <v>31</v>
      </c>
    </row>
    <row r="15" spans="1:28" ht="22.2" customHeight="1" x14ac:dyDescent="0.3">
      <c r="A15" s="2" t="s">
        <v>48</v>
      </c>
      <c r="B15" s="2" t="s">
        <v>34</v>
      </c>
      <c r="C15" s="2">
        <v>27</v>
      </c>
      <c r="D15" s="3">
        <v>5210</v>
      </c>
      <c r="E15" s="4">
        <v>13043940</v>
      </c>
      <c r="F15" s="4">
        <v>0</v>
      </c>
      <c r="G15" s="4">
        <v>46996</v>
      </c>
      <c r="H15" s="4">
        <v>0</v>
      </c>
      <c r="I15" s="4">
        <v>13090936</v>
      </c>
      <c r="J15" s="4">
        <v>24</v>
      </c>
      <c r="K15" s="4">
        <v>730</v>
      </c>
      <c r="L15" s="5" t="s">
        <v>42</v>
      </c>
      <c r="M15" s="18"/>
      <c r="N15" s="6" t="str">
        <f t="shared" si="7"/>
        <v/>
      </c>
      <c r="O15" s="18"/>
      <c r="P15" s="6" t="str">
        <f t="shared" si="8"/>
        <v/>
      </c>
      <c r="Q15" s="19"/>
      <c r="R15" s="7" t="str">
        <f t="shared" si="9"/>
        <v/>
      </c>
      <c r="S15" s="8">
        <v>0.81599999999999995</v>
      </c>
      <c r="T15" s="7">
        <f t="shared" si="10"/>
        <v>744838.27</v>
      </c>
      <c r="U15" s="8">
        <v>4.0890000000000004</v>
      </c>
      <c r="V15" s="7">
        <f t="shared" si="11"/>
        <v>535288.37</v>
      </c>
      <c r="W15" s="7">
        <f t="shared" si="12"/>
        <v>1280126.6400000001</v>
      </c>
      <c r="X15" s="7" t="str">
        <f t="shared" si="13"/>
        <v/>
      </c>
      <c r="Y15" s="7" t="str">
        <f t="shared" si="14"/>
        <v/>
      </c>
      <c r="Z15" s="15">
        <f>23%</f>
        <v>0.23</v>
      </c>
      <c r="AA15" s="14" t="s">
        <v>57</v>
      </c>
      <c r="AB15" s="14" t="s">
        <v>31</v>
      </c>
    </row>
    <row r="16" spans="1:28" ht="22.2" customHeight="1" x14ac:dyDescent="0.3">
      <c r="H16" s="11" t="s">
        <v>5</v>
      </c>
      <c r="I16" s="21">
        <f>SUM(I6:I15)</f>
        <v>31191406</v>
      </c>
      <c r="W16" s="20" t="s">
        <v>5</v>
      </c>
      <c r="X16" s="20" t="str">
        <f>IF(SUM(X6:X15)&gt;0,SUM(X6:X15),"")</f>
        <v/>
      </c>
      <c r="Y16" s="20" t="str">
        <f>IF(SUM(Y6:Y15)&gt;0,SUM(Y6:Y15),"")</f>
        <v/>
      </c>
    </row>
    <row r="17" spans="1:27" ht="22.2" customHeight="1" x14ac:dyDescent="0.3">
      <c r="W17" s="11"/>
      <c r="X17" s="20"/>
      <c r="Y17" s="20"/>
    </row>
    <row r="18" spans="1:27" ht="22.2" customHeight="1" x14ac:dyDescent="0.3">
      <c r="A18" s="22" t="s">
        <v>51</v>
      </c>
      <c r="B18" s="23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6"/>
    </row>
    <row r="19" spans="1:27" ht="28.2" customHeight="1" x14ac:dyDescent="0.3">
      <c r="A19" s="31"/>
      <c r="B19" s="32"/>
      <c r="C19" s="31"/>
      <c r="D19" s="31"/>
      <c r="E19" s="34"/>
      <c r="F19" s="34"/>
      <c r="G19" s="34"/>
      <c r="H19" s="34"/>
      <c r="I19" s="34" t="s">
        <v>52</v>
      </c>
      <c r="J19" s="31"/>
      <c r="K19" s="31"/>
      <c r="L19" s="31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1" t="s">
        <v>11</v>
      </c>
      <c r="Y19" s="1" t="s">
        <v>12</v>
      </c>
      <c r="Z19" s="1"/>
      <c r="AA19" s="12"/>
    </row>
    <row r="20" spans="1:27" ht="51" customHeight="1" x14ac:dyDescent="0.3">
      <c r="A20" s="31"/>
      <c r="B20" s="33"/>
      <c r="C20" s="31"/>
      <c r="D20" s="31"/>
      <c r="E20" s="34"/>
      <c r="F20" s="34"/>
      <c r="G20" s="34"/>
      <c r="H20" s="34"/>
      <c r="I20" s="34"/>
      <c r="J20" s="31"/>
      <c r="K20" s="31"/>
      <c r="L20" s="31"/>
      <c r="M20" s="17"/>
      <c r="N20" s="16"/>
      <c r="O20" s="17"/>
      <c r="P20" s="16"/>
      <c r="Q20" s="17"/>
      <c r="R20" s="17"/>
      <c r="S20" s="17"/>
      <c r="T20" s="17"/>
      <c r="U20" s="16"/>
      <c r="V20" s="17"/>
      <c r="W20" s="17"/>
      <c r="X20" s="17" t="s">
        <v>53</v>
      </c>
      <c r="Y20" s="17" t="s">
        <v>59</v>
      </c>
      <c r="Z20" s="17" t="s">
        <v>14</v>
      </c>
      <c r="AA20" s="13" t="s">
        <v>15</v>
      </c>
    </row>
    <row r="21" spans="1:27" ht="22.2" customHeight="1" x14ac:dyDescent="0.3">
      <c r="A21" s="2" t="str">
        <f>"-1-"</f>
        <v>-1-</v>
      </c>
      <c r="B21" s="2" t="str">
        <f>"-2-"</f>
        <v>-2-</v>
      </c>
      <c r="C21" s="2" t="str">
        <f>"-3-"</f>
        <v>-3-</v>
      </c>
      <c r="D21" s="2" t="str">
        <f>"-4-"</f>
        <v>-4-</v>
      </c>
      <c r="E21" s="2" t="str">
        <f>"-5-"</f>
        <v>-5-</v>
      </c>
      <c r="F21" s="2" t="str">
        <f>"-6-"</f>
        <v>-6-</v>
      </c>
      <c r="G21" s="2" t="str">
        <f>"-7-"</f>
        <v>-7-</v>
      </c>
      <c r="H21" s="2" t="str">
        <f>"-8-"</f>
        <v>-8-</v>
      </c>
      <c r="I21" s="2" t="str">
        <f>"-9-"</f>
        <v>-9-</v>
      </c>
      <c r="J21" s="2" t="str">
        <f>"-10-"</f>
        <v>-10-</v>
      </c>
      <c r="K21" s="2" t="str">
        <f>"-11-"</f>
        <v>-11-</v>
      </c>
      <c r="L21" s="2" t="str">
        <f>"-12-"</f>
        <v>-12-</v>
      </c>
      <c r="M21" s="2" t="str">
        <f>"-13-"</f>
        <v>-13-</v>
      </c>
      <c r="N21" s="2" t="str">
        <f>"-14-"</f>
        <v>-14-</v>
      </c>
      <c r="O21" s="2" t="str">
        <f>"-15-"</f>
        <v>-15-</v>
      </c>
      <c r="P21" s="2" t="str">
        <f>"-16-"</f>
        <v>-16-</v>
      </c>
      <c r="Q21" s="2" t="str">
        <f>"-17-"</f>
        <v>-17-</v>
      </c>
      <c r="R21" s="2" t="str">
        <f>"-18-"</f>
        <v>-18-</v>
      </c>
      <c r="S21" s="2" t="str">
        <f>"-19-"</f>
        <v>-19-</v>
      </c>
      <c r="T21" s="2" t="str">
        <f>"-20-"</f>
        <v>-20-</v>
      </c>
      <c r="U21" s="2" t="str">
        <f>"-21-"</f>
        <v>-21-</v>
      </c>
      <c r="V21" s="14" t="str">
        <f>"-22-"</f>
        <v>-22-</v>
      </c>
      <c r="W21" s="2" t="str">
        <f>"-23-"</f>
        <v>-23-</v>
      </c>
      <c r="X21" s="2" t="str">
        <f>"-24-"</f>
        <v>-24-</v>
      </c>
      <c r="Y21" s="2" t="str">
        <f>"-25-"</f>
        <v>-25-</v>
      </c>
      <c r="Z21" s="2" t="str">
        <f>"-26-"</f>
        <v>-26-</v>
      </c>
      <c r="AA21" s="2" t="str">
        <f>"-27-"</f>
        <v>-27-</v>
      </c>
    </row>
    <row r="22" spans="1:27" ht="22.2" customHeight="1" x14ac:dyDescent="0.3">
      <c r="A22" s="24"/>
      <c r="B22" s="24"/>
      <c r="C22" s="24"/>
      <c r="D22" s="24"/>
      <c r="E22" s="24"/>
      <c r="F22" s="24"/>
      <c r="G22" s="24"/>
      <c r="H22" s="24"/>
      <c r="I22" s="25">
        <f>ROUND(I16*0.2,0)</f>
        <v>6238281</v>
      </c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7" t="str">
        <f>IF(M6&gt;0,(X16/I16)*I22,"")</f>
        <v/>
      </c>
      <c r="Y22" s="7" t="str">
        <f>IF(M6&gt;0,ROUND(X22*(1+Z22),2),"")</f>
        <v/>
      </c>
      <c r="Z22" s="15">
        <f>23%</f>
        <v>0.23</v>
      </c>
      <c r="AA22" s="14" t="s">
        <v>57</v>
      </c>
    </row>
    <row r="23" spans="1:27" ht="22.2" customHeight="1" x14ac:dyDescent="0.3">
      <c r="W23" s="11"/>
      <c r="X23" s="20"/>
      <c r="Y23" s="20"/>
    </row>
    <row r="24" spans="1:27" ht="22.2" customHeight="1" x14ac:dyDescent="0.3">
      <c r="A24" s="22" t="s">
        <v>54</v>
      </c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6"/>
    </row>
    <row r="25" spans="1:27" ht="32.4" customHeight="1" x14ac:dyDescent="0.3">
      <c r="A25" s="31"/>
      <c r="B25" s="32"/>
      <c r="C25" s="31"/>
      <c r="D25" s="31"/>
      <c r="E25" s="34"/>
      <c r="F25" s="34"/>
      <c r="G25" s="34"/>
      <c r="H25" s="34"/>
      <c r="I25" s="34" t="s">
        <v>58</v>
      </c>
      <c r="J25" s="31"/>
      <c r="K25" s="31"/>
      <c r="L25" s="31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1" t="s">
        <v>11</v>
      </c>
      <c r="Y25" s="1" t="s">
        <v>12</v>
      </c>
      <c r="Z25" s="1"/>
      <c r="AA25" s="12"/>
    </row>
    <row r="26" spans="1:27" ht="67.2" customHeight="1" x14ac:dyDescent="0.3">
      <c r="A26" s="31"/>
      <c r="B26" s="33"/>
      <c r="C26" s="31"/>
      <c r="D26" s="31"/>
      <c r="E26" s="34"/>
      <c r="F26" s="34"/>
      <c r="G26" s="34"/>
      <c r="H26" s="34"/>
      <c r="I26" s="34"/>
      <c r="J26" s="31"/>
      <c r="K26" s="31"/>
      <c r="L26" s="31"/>
      <c r="M26" s="17"/>
      <c r="N26" s="16"/>
      <c r="O26" s="17"/>
      <c r="P26" s="16"/>
      <c r="Q26" s="17"/>
      <c r="R26" s="17"/>
      <c r="S26" s="17"/>
      <c r="T26" s="17"/>
      <c r="U26" s="16"/>
      <c r="V26" s="17"/>
      <c r="W26" s="17"/>
      <c r="X26" s="17" t="s">
        <v>55</v>
      </c>
      <c r="Y26" s="17" t="s">
        <v>59</v>
      </c>
      <c r="Z26" s="17" t="s">
        <v>14</v>
      </c>
      <c r="AA26" s="13" t="s">
        <v>15</v>
      </c>
    </row>
    <row r="27" spans="1:27" ht="22.2" customHeight="1" x14ac:dyDescent="0.3">
      <c r="A27" s="2" t="str">
        <f>"-1-"</f>
        <v>-1-</v>
      </c>
      <c r="B27" s="2" t="str">
        <f>"-2-"</f>
        <v>-2-</v>
      </c>
      <c r="C27" s="2" t="str">
        <f>"-3-"</f>
        <v>-3-</v>
      </c>
      <c r="D27" s="2" t="str">
        <f>"-4-"</f>
        <v>-4-</v>
      </c>
      <c r="E27" s="2" t="str">
        <f>"-5-"</f>
        <v>-5-</v>
      </c>
      <c r="F27" s="2" t="str">
        <f>"-6-"</f>
        <v>-6-</v>
      </c>
      <c r="G27" s="2" t="str">
        <f>"-7-"</f>
        <v>-7-</v>
      </c>
      <c r="H27" s="2" t="str">
        <f>"-8-"</f>
        <v>-8-</v>
      </c>
      <c r="I27" s="2" t="str">
        <f>"-9-"</f>
        <v>-9-</v>
      </c>
      <c r="J27" s="2" t="str">
        <f>"-10-"</f>
        <v>-10-</v>
      </c>
      <c r="K27" s="2" t="str">
        <f>"-11-"</f>
        <v>-11-</v>
      </c>
      <c r="L27" s="2" t="str">
        <f>"-12-"</f>
        <v>-12-</v>
      </c>
      <c r="M27" s="2" t="str">
        <f>"-13-"</f>
        <v>-13-</v>
      </c>
      <c r="N27" s="2" t="str">
        <f>"-14-"</f>
        <v>-14-</v>
      </c>
      <c r="O27" s="2" t="str">
        <f>"-15-"</f>
        <v>-15-</v>
      </c>
      <c r="P27" s="2" t="str">
        <f>"-16-"</f>
        <v>-16-</v>
      </c>
      <c r="Q27" s="2" t="str">
        <f>"-17-"</f>
        <v>-17-</v>
      </c>
      <c r="R27" s="2" t="str">
        <f>"-18-"</f>
        <v>-18-</v>
      </c>
      <c r="S27" s="2" t="str">
        <f>"-19-"</f>
        <v>-19-</v>
      </c>
      <c r="T27" s="2" t="str">
        <f>"-20-"</f>
        <v>-20-</v>
      </c>
      <c r="U27" s="2" t="str">
        <f>"-21-"</f>
        <v>-21-</v>
      </c>
      <c r="V27" s="14" t="str">
        <f>"-22-"</f>
        <v>-22-</v>
      </c>
      <c r="W27" s="2" t="str">
        <f>"-23-"</f>
        <v>-23-</v>
      </c>
      <c r="X27" s="2" t="str">
        <f>"-24-"</f>
        <v>-24-</v>
      </c>
      <c r="Y27" s="2" t="str">
        <f>"-25-"</f>
        <v>-25-</v>
      </c>
      <c r="Z27" s="2" t="str">
        <f>"-26-"</f>
        <v>-26-</v>
      </c>
      <c r="AA27" s="2" t="str">
        <f>"-27-"</f>
        <v>-27-</v>
      </c>
    </row>
    <row r="28" spans="1:27" ht="22.2" customHeight="1" x14ac:dyDescent="0.3">
      <c r="A28" s="24"/>
      <c r="B28" s="24"/>
      <c r="C28" s="24"/>
      <c r="D28" s="24"/>
      <c r="E28" s="24"/>
      <c r="F28" s="24"/>
      <c r="G28" s="24"/>
      <c r="H28" s="24"/>
      <c r="I28" s="25">
        <f>I16+I22</f>
        <v>37429687</v>
      </c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7" t="str">
        <f>IF(M6&gt;0,(X22/I22)*I28,"")</f>
        <v/>
      </c>
      <c r="Y28" s="7" t="str">
        <f>IF(M6&gt;0,ROUND(X28*(1+Z28),2),"")</f>
        <v/>
      </c>
      <c r="Z28" s="15">
        <f>23%</f>
        <v>0.23</v>
      </c>
      <c r="AA28" s="14" t="s">
        <v>57</v>
      </c>
    </row>
    <row r="29" spans="1:27" ht="22.2" customHeight="1" x14ac:dyDescent="0.3">
      <c r="W29" s="11"/>
      <c r="X29" s="20"/>
      <c r="Y29" s="20"/>
    </row>
    <row r="30" spans="1:27" ht="41.4" customHeight="1" x14ac:dyDescent="0.3">
      <c r="A30" s="35" t="s">
        <v>32</v>
      </c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7"/>
    </row>
    <row r="31" spans="1:27" ht="37.799999999999997" customHeight="1" x14ac:dyDescent="0.3">
      <c r="A31" s="35" t="s">
        <v>37</v>
      </c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7"/>
    </row>
    <row r="35" ht="15.6" customHeight="1" x14ac:dyDescent="0.3"/>
    <row r="36" ht="15.6" customHeight="1" x14ac:dyDescent="0.3"/>
    <row r="56" spans="15:15" x14ac:dyDescent="0.3">
      <c r="O56" s="10"/>
    </row>
  </sheetData>
  <sheetProtection algorithmName="SHA-512" hashValue="FDzPfDKZHnODOiDH0Ya1OFGywcmxq61Hwd3/sxrBtlfMObw/k+ip7j2LdhcjudkM9w8skgEGjfOTzBv+V1sUiw==" saltValue="2ToOgVAemy6Si1SBS32hsg==" spinCount="100000" sheet="1" objects="1" scenarios="1"/>
  <protectedRanges>
    <protectedRange sqref="M6:M15" name="Rozstęp3"/>
    <protectedRange sqref="O6:O15" name="Rozstęp1"/>
    <protectedRange sqref="Q6:Q15" name="Rozstęp2"/>
  </protectedRanges>
  <autoFilter ref="A5:AB16" xr:uid="{00000000-0001-0000-0000-000000000000}"/>
  <mergeCells count="45">
    <mergeCell ref="I19:I20"/>
    <mergeCell ref="K19:K20"/>
    <mergeCell ref="L19:L20"/>
    <mergeCell ref="M19:R19"/>
    <mergeCell ref="A30:N30"/>
    <mergeCell ref="S19:W19"/>
    <mergeCell ref="A25:A26"/>
    <mergeCell ref="B25:B26"/>
    <mergeCell ref="C25:C26"/>
    <mergeCell ref="D25:D26"/>
    <mergeCell ref="E25:E26"/>
    <mergeCell ref="F25:F26"/>
    <mergeCell ref="G25:G26"/>
    <mergeCell ref="H25:H26"/>
    <mergeCell ref="I25:I26"/>
    <mergeCell ref="J25:J26"/>
    <mergeCell ref="K25:K26"/>
    <mergeCell ref="L25:L26"/>
    <mergeCell ref="M25:R25"/>
    <mergeCell ref="S25:W25"/>
    <mergeCell ref="A31:N31"/>
    <mergeCell ref="D3:D4"/>
    <mergeCell ref="E3:E4"/>
    <mergeCell ref="F3:F4"/>
    <mergeCell ref="G3:G4"/>
    <mergeCell ref="H3:H4"/>
    <mergeCell ref="M3:R3"/>
    <mergeCell ref="A19:A20"/>
    <mergeCell ref="B19:B20"/>
    <mergeCell ref="C19:C20"/>
    <mergeCell ref="D19:D20"/>
    <mergeCell ref="E19:E20"/>
    <mergeCell ref="F19:F20"/>
    <mergeCell ref="G19:G20"/>
    <mergeCell ref="H19:H20"/>
    <mergeCell ref="J19:J20"/>
    <mergeCell ref="A1:AB1"/>
    <mergeCell ref="S3:W3"/>
    <mergeCell ref="A3:A4"/>
    <mergeCell ref="B3:B4"/>
    <mergeCell ref="C3:C4"/>
    <mergeCell ref="I3:I4"/>
    <mergeCell ref="J3:J4"/>
    <mergeCell ref="K3:K4"/>
    <mergeCell ref="L3:L4"/>
  </mergeCells>
  <phoneticPr fontId="7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31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  <_dlc_DocId xmlns="cf92b6ff-5ccf-4221-9bd9-e608a8edb1c8">UCR76KNYMX3U-1951954605-615462</_dlc_DocId>
    <_dlc_DocIdUrl xmlns="cf92b6ff-5ccf-4221-9bd9-e608a8edb1c8">
      <Url>https://plnewpower.sharepoint.com/sites/wspolny/_layouts/15/DocIdRedir.aspx?ID=UCR76KNYMX3U-1951954605-615462</Url>
      <Description>UCR76KNYMX3U-1951954605-615462</Description>
    </_dlc_DocIdUrl>
  </documentManagement>
</p:properties>
</file>

<file path=customXml/itemProps1.xml><?xml version="1.0" encoding="utf-8"?>
<ds:datastoreItem xmlns:ds="http://schemas.openxmlformats.org/officeDocument/2006/customXml" ds:itemID="{C4BE988C-1D37-40BD-AFAB-38D99CA0688A}"/>
</file>

<file path=customXml/itemProps2.xml><?xml version="1.0" encoding="utf-8"?>
<ds:datastoreItem xmlns:ds="http://schemas.openxmlformats.org/officeDocument/2006/customXml" ds:itemID="{E3847164-E3B3-4EBF-9A82-7F8DF641AD7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A51026-B7E6-421E-A723-1A18314C5990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BE64A92-2056-4ADB-A546-F8AF3DA6DA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2023-09-21T11:35:09Z</cp:lastPrinted>
  <dcterms:created xsi:type="dcterms:W3CDTF">2015-06-05T18:19:34Z</dcterms:created>
  <dcterms:modified xsi:type="dcterms:W3CDTF">2025-01-27T13:07:45Z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ad66c264-ebe8-4a0e-a0ab-609dd30feac7</vt:lpwstr>
  </property>
</Properties>
</file>