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V:\Rok 2022\sprzatanie - przetarg nieograniczony\SWZ\"/>
    </mc:Choice>
  </mc:AlternateContent>
  <bookViews>
    <workbookView xWindow="-120" yWindow="-120" windowWidth="29040" windowHeight="15840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2" i="1" l="1"/>
  <c r="K28" i="1"/>
  <c r="H57" i="1" l="1"/>
  <c r="G57" i="1"/>
  <c r="F57" i="1"/>
  <c r="E57" i="1"/>
  <c r="D57" i="1"/>
  <c r="C57" i="1"/>
  <c r="C86" i="1"/>
  <c r="D86" i="1"/>
  <c r="E86" i="1"/>
  <c r="F86" i="1"/>
  <c r="M36" i="1" l="1"/>
  <c r="M37" i="1" l="1"/>
  <c r="M38" i="1"/>
  <c r="M40" i="1"/>
  <c r="M42" i="1"/>
  <c r="M45" i="1"/>
  <c r="M47" i="1"/>
  <c r="M48" i="1"/>
  <c r="M49" i="1"/>
  <c r="M50" i="1"/>
  <c r="M52" i="1"/>
  <c r="M53" i="1"/>
  <c r="M55" i="1"/>
  <c r="M56" i="1"/>
  <c r="M34" i="1"/>
  <c r="H44" i="1"/>
  <c r="H35" i="1"/>
  <c r="H34" i="1"/>
  <c r="C56" i="1"/>
  <c r="C55" i="1"/>
  <c r="E54" i="1"/>
  <c r="D54" i="1"/>
  <c r="M54" i="1" s="1"/>
  <c r="C54" i="1"/>
  <c r="D51" i="1"/>
  <c r="C51" i="1"/>
  <c r="M51" i="1" s="1"/>
  <c r="C48" i="1"/>
  <c r="E47" i="1"/>
  <c r="C47" i="1"/>
  <c r="C46" i="1"/>
  <c r="M46" i="1" s="1"/>
  <c r="E44" i="1"/>
  <c r="D44" i="1"/>
  <c r="M44" i="1" s="1"/>
  <c r="C44" i="1"/>
  <c r="C43" i="1"/>
  <c r="M43" i="1" s="1"/>
  <c r="D41" i="1"/>
  <c r="C41" i="1"/>
  <c r="M41" i="1" s="1"/>
  <c r="F40" i="1"/>
  <c r="D40" i="1"/>
  <c r="C39" i="1"/>
  <c r="M39" i="1" s="1"/>
  <c r="C38" i="1"/>
  <c r="D35" i="1"/>
  <c r="C35" i="1"/>
  <c r="M35" i="1" s="1"/>
  <c r="C34" i="1"/>
  <c r="M57" i="1" l="1"/>
  <c r="H7" i="1"/>
  <c r="H9" i="1"/>
  <c r="H10" i="1"/>
  <c r="H12" i="1"/>
  <c r="H13" i="1"/>
  <c r="H14" i="1"/>
  <c r="H15" i="1"/>
  <c r="H16" i="1"/>
  <c r="H17" i="1"/>
  <c r="H18" i="1"/>
  <c r="H19" i="1"/>
  <c r="H21" i="1"/>
  <c r="H22" i="1"/>
  <c r="H24" i="1"/>
  <c r="H25" i="1"/>
  <c r="H26" i="1"/>
  <c r="H27" i="1"/>
  <c r="H28" i="1" l="1"/>
  <c r="E28" i="1"/>
  <c r="I28" i="1"/>
  <c r="J28" i="1"/>
  <c r="F27" i="1"/>
  <c r="C27" i="1"/>
  <c r="C26" i="1"/>
  <c r="G25" i="1"/>
  <c r="C25" i="1"/>
  <c r="C24" i="1"/>
  <c r="C23" i="1"/>
  <c r="C22" i="1"/>
  <c r="C21" i="1"/>
  <c r="C20" i="1"/>
  <c r="C19" i="1"/>
  <c r="C18" i="1"/>
  <c r="C17" i="1"/>
  <c r="C16" i="1"/>
  <c r="G15" i="1"/>
  <c r="F15" i="1"/>
  <c r="C15" i="1"/>
  <c r="C14" i="1"/>
  <c r="C13" i="1"/>
  <c r="C12" i="1"/>
  <c r="C11" i="1"/>
  <c r="G10" i="1"/>
  <c r="C10" i="1"/>
  <c r="C9" i="1"/>
  <c r="C8" i="1"/>
  <c r="G7" i="1"/>
  <c r="F7" i="1"/>
  <c r="C7" i="1"/>
  <c r="C6" i="1"/>
  <c r="M6" i="1" s="1"/>
  <c r="D17" i="1" l="1"/>
  <c r="M17" i="1"/>
  <c r="D25" i="1"/>
  <c r="M25" i="1"/>
  <c r="D7" i="1"/>
  <c r="M7" i="1"/>
  <c r="D12" i="1"/>
  <c r="D18" i="1"/>
  <c r="M18" i="1"/>
  <c r="D16" i="1"/>
  <c r="M16" i="1"/>
  <c r="D24" i="1"/>
  <c r="M24" i="1"/>
  <c r="D11" i="1"/>
  <c r="M11" i="1"/>
  <c r="D13" i="1"/>
  <c r="M13" i="1"/>
  <c r="D19" i="1"/>
  <c r="M19" i="1"/>
  <c r="D26" i="1"/>
  <c r="M26" i="1"/>
  <c r="D14" i="1"/>
  <c r="M14" i="1"/>
  <c r="D20" i="1"/>
  <c r="M20" i="1"/>
  <c r="D27" i="1"/>
  <c r="M27" i="1"/>
  <c r="D8" i="1"/>
  <c r="M8" i="1"/>
  <c r="D15" i="1"/>
  <c r="M15" i="1"/>
  <c r="D21" i="1"/>
  <c r="M21" i="1"/>
  <c r="D9" i="1"/>
  <c r="M9" i="1"/>
  <c r="D22" i="1"/>
  <c r="M22" i="1"/>
  <c r="D10" i="1"/>
  <c r="M10" i="1"/>
  <c r="D23" i="1"/>
  <c r="M23" i="1"/>
  <c r="F28" i="1"/>
  <c r="G28" i="1"/>
  <c r="D6" i="1"/>
  <c r="C28" i="1"/>
  <c r="M28" i="1" l="1"/>
  <c r="D28" i="1"/>
</calcChain>
</file>

<file path=xl/sharedStrings.xml><?xml version="1.0" encoding="utf-8"?>
<sst xmlns="http://schemas.openxmlformats.org/spreadsheetml/2006/main" count="127" uniqueCount="60">
  <si>
    <t>LP</t>
  </si>
  <si>
    <t>Powiat</t>
  </si>
  <si>
    <t>WC</t>
  </si>
  <si>
    <t>Komunikacja</t>
  </si>
  <si>
    <t>Lubelski OR</t>
  </si>
  <si>
    <t>LOR Felin</t>
  </si>
  <si>
    <t>Lublin</t>
  </si>
  <si>
    <t>Biała Podlaska</t>
  </si>
  <si>
    <t>Biłgoraj</t>
  </si>
  <si>
    <t xml:space="preserve">Chełm </t>
  </si>
  <si>
    <t>Hrubieszów</t>
  </si>
  <si>
    <t>Janów Lubelski</t>
  </si>
  <si>
    <t>Krasnystaw</t>
  </si>
  <si>
    <t>Kraśnik</t>
  </si>
  <si>
    <t>Lubartów</t>
  </si>
  <si>
    <t>Łęczna</t>
  </si>
  <si>
    <t>Łuków</t>
  </si>
  <si>
    <t>Opole Lubelskie</t>
  </si>
  <si>
    <t>Parczew</t>
  </si>
  <si>
    <t>Puławy</t>
  </si>
  <si>
    <t>Radzyń Podlaski</t>
  </si>
  <si>
    <t>Ryki</t>
  </si>
  <si>
    <t>Piaski/Świdnik</t>
  </si>
  <si>
    <t>Tomaszów Lubelski</t>
  </si>
  <si>
    <t>Włodawa</t>
  </si>
  <si>
    <t>Zamość</t>
  </si>
  <si>
    <t>TEREN ZEWNĘTRZNY</t>
  </si>
  <si>
    <t>RAZEM:</t>
  </si>
  <si>
    <t>Ilość Lodówek</t>
  </si>
  <si>
    <r>
      <t>Wykładzina [m</t>
    </r>
    <r>
      <rPr>
        <vertAlign val="superscript"/>
        <sz val="11"/>
        <color theme="1"/>
        <rFont val="Times New Roman"/>
        <family val="1"/>
        <charset val="238"/>
      </rPr>
      <t>2</t>
    </r>
    <r>
      <rPr>
        <sz val="11"/>
        <color theme="1"/>
        <rFont val="Times New Roman"/>
        <family val="1"/>
        <charset val="238"/>
      </rPr>
      <t>]</t>
    </r>
  </si>
  <si>
    <r>
      <t>Utwardzony - parkingi, chodniki [m</t>
    </r>
    <r>
      <rPr>
        <vertAlign val="superscript"/>
        <sz val="11"/>
        <color theme="1"/>
        <rFont val="Times New Roman"/>
        <family val="1"/>
        <charset val="238"/>
      </rPr>
      <t>2</t>
    </r>
    <r>
      <rPr>
        <sz val="11"/>
        <color theme="1"/>
        <rFont val="Times New Roman"/>
        <family val="1"/>
        <charset val="238"/>
      </rPr>
      <t>]</t>
    </r>
  </si>
  <si>
    <t>Zestawienie Ilościowe wybranych elemntów wyposażenia</t>
  </si>
  <si>
    <t>Nazwa</t>
  </si>
  <si>
    <r>
      <t>Powierzchnie zmywalne (pcv, gres, parkiet) w [m</t>
    </r>
    <r>
      <rPr>
        <vertAlign val="superscript"/>
        <sz val="11"/>
        <color theme="1"/>
        <rFont val="Times New Roman"/>
        <family val="1"/>
        <charset val="238"/>
      </rPr>
      <t>2</t>
    </r>
    <r>
      <rPr>
        <sz val="11"/>
        <color theme="1"/>
        <rFont val="Times New Roman"/>
        <family val="1"/>
        <charset val="238"/>
      </rPr>
      <t>]</t>
    </r>
  </si>
  <si>
    <t>Powierzchnia Biurowa</t>
  </si>
  <si>
    <t>Pomieszczenia socjalne</t>
  </si>
  <si>
    <t>Ilośc mikrofalówek</t>
  </si>
  <si>
    <r>
      <t>Całkowita powierzchnia [m</t>
    </r>
    <r>
      <rPr>
        <vertAlign val="superscript"/>
        <sz val="11"/>
        <color theme="1"/>
        <rFont val="Times New Roman"/>
        <family val="1"/>
        <charset val="238"/>
      </rPr>
      <t>2</t>
    </r>
    <r>
      <rPr>
        <sz val="11"/>
        <color theme="1"/>
        <rFont val="Times New Roman"/>
        <family val="1"/>
        <charset val="238"/>
      </rPr>
      <t>]</t>
    </r>
  </si>
  <si>
    <r>
      <t>Powierzchnie zmywalne m</t>
    </r>
    <r>
      <rPr>
        <vertAlign val="superscript"/>
        <sz val="11"/>
        <color theme="1"/>
        <rFont val="Times New Roman"/>
        <family val="1"/>
        <charset val="238"/>
      </rPr>
      <t>2</t>
    </r>
  </si>
  <si>
    <r>
      <t>Nieutwardzony teren zielony [m</t>
    </r>
    <r>
      <rPr>
        <vertAlign val="superscript"/>
        <sz val="11"/>
        <color theme="1"/>
        <rFont val="Times New Roman"/>
        <family val="1"/>
        <charset val="238"/>
      </rPr>
      <t>2</t>
    </r>
    <r>
      <rPr>
        <sz val="11"/>
        <color theme="1"/>
        <rFont val="Times New Roman"/>
        <family val="1"/>
        <charset val="238"/>
      </rPr>
      <t>]</t>
    </r>
  </si>
  <si>
    <t>Liczba toalet</t>
  </si>
  <si>
    <t>Krzesła - obicie materiałowe</t>
  </si>
  <si>
    <t xml:space="preserve"> [szt]</t>
  </si>
  <si>
    <t>sprzątane
1 x na kw.</t>
  </si>
  <si>
    <t>sprzątane codziennie</t>
  </si>
  <si>
    <t>Serwerownia</t>
  </si>
  <si>
    <t>Pow. magazynowa</t>
  </si>
  <si>
    <t>Tymczasowe przechow. Akt</t>
  </si>
  <si>
    <t>Składnica akt</t>
  </si>
  <si>
    <t>Zrzutna Akt</t>
  </si>
  <si>
    <t>Kotłownia</t>
  </si>
  <si>
    <t>CZĘŚĆ 1</t>
  </si>
  <si>
    <t>CZĘŚĆ 2</t>
  </si>
  <si>
    <t>CZĘŚĆ  2</t>
  </si>
  <si>
    <t>centralna zrzutnia akt II</t>
  </si>
  <si>
    <t>Zestawienie powierzchni  objętych utrzymaniem czystości - codzienne</t>
  </si>
  <si>
    <t>Zestawienie powierzchni  objętych utrzymaniem czystości - cykliczne - raz na kwartał</t>
  </si>
  <si>
    <r>
      <t>[m</t>
    </r>
    <r>
      <rPr>
        <b/>
        <vertAlign val="superscript"/>
        <sz val="11"/>
        <color theme="1"/>
        <rFont val="Times New Roman"/>
        <family val="1"/>
        <charset val="238"/>
      </rPr>
      <t>2</t>
    </r>
    <r>
      <rPr>
        <b/>
        <sz val="11"/>
        <color theme="1"/>
        <rFont val="Times New Roman"/>
        <family val="1"/>
        <charset val="238"/>
      </rPr>
      <t>]</t>
    </r>
  </si>
  <si>
    <t>chodnik przed posesją</t>
  </si>
  <si>
    <t>Załącznik nr 6C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</si>
</sst>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0"/>
      <name val="Arial CE"/>
      <charset val="238"/>
    </font>
    <font>
      <b/>
      <sz val="11"/>
      <name val="Arial CE"/>
      <charset val="238"/>
    </font>
    <font>
      <b/>
      <sz val="10"/>
      <name val="Arial CE"/>
      <charset val="238"/>
    </font>
    <font>
      <sz val="1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i/>
      <sz val="10"/>
      <name val="Arial CE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vertAlign val="superscript"/>
      <sz val="11"/>
      <color theme="1"/>
      <name val="Times New Roman"/>
      <family val="1"/>
      <charset val="238"/>
    </font>
    <font>
      <b/>
      <sz val="9"/>
      <name val="Arial CE"/>
      <charset val="238"/>
    </font>
    <font>
      <b/>
      <i/>
      <sz val="11"/>
      <name val="Arial CE"/>
      <charset val="238"/>
    </font>
    <font>
      <b/>
      <sz val="11"/>
      <color theme="1"/>
      <name val="Times New Roman"/>
      <family val="1"/>
      <charset val="238"/>
    </font>
    <font>
      <b/>
      <vertAlign val="superscript"/>
      <sz val="11"/>
      <color theme="1"/>
      <name val="Times New Roman"/>
      <family val="1"/>
      <charset val="238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 diagonalUp="1"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medium">
        <color indexed="64"/>
      </diagonal>
    </border>
    <border diagonalUp="1" diagonalDown="1">
      <left style="medium">
        <color indexed="64"/>
      </left>
      <right style="medium">
        <color indexed="64"/>
      </right>
      <top style="medium">
        <color indexed="64"/>
      </top>
      <bottom/>
      <diagonal style="medium">
        <color indexed="64"/>
      </diagonal>
    </border>
    <border diagonalUp="1" diagonalDown="1">
      <left style="medium">
        <color indexed="64"/>
      </left>
      <right style="medium">
        <color indexed="64"/>
      </right>
      <top/>
      <bottom/>
      <diagonal style="medium">
        <color indexed="64"/>
      </diagonal>
    </border>
    <border diagonalUp="1" diagonalDown="1">
      <left style="medium">
        <color indexed="64"/>
      </left>
      <right style="medium">
        <color indexed="64"/>
      </right>
      <top/>
      <bottom style="medium">
        <color indexed="64"/>
      </bottom>
      <diagonal style="medium">
        <color indexed="64"/>
      </diagonal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51">
    <xf numFmtId="0" fontId="0" fillId="0" borderId="0" xfId="0"/>
    <xf numFmtId="0" fontId="12" fillId="0" borderId="0" xfId="0" applyFont="1" applyAlignment="1">
      <alignment horizontal="center"/>
    </xf>
    <xf numFmtId="4" fontId="6" fillId="3" borderId="5" xfId="0" applyNumberFormat="1" applyFont="1" applyFill="1" applyBorder="1" applyAlignment="1">
      <alignment horizontal="center" vertical="center"/>
    </xf>
    <xf numFmtId="0" fontId="6" fillId="3" borderId="5" xfId="0" applyNumberFormat="1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4" fontId="6" fillId="0" borderId="22" xfId="0" applyNumberFormat="1" applyFont="1" applyBorder="1"/>
    <xf numFmtId="4" fontId="6" fillId="0" borderId="5" xfId="0" applyNumberFormat="1" applyFont="1" applyBorder="1"/>
    <xf numFmtId="4" fontId="6" fillId="3" borderId="5" xfId="0" applyNumberFormat="1" applyFont="1" applyFill="1" applyBorder="1" applyAlignment="1">
      <alignment horizontal="right" vertical="center"/>
    </xf>
    <xf numFmtId="4" fontId="1" fillId="0" borderId="5" xfId="0" applyNumberFormat="1" applyFont="1" applyBorder="1"/>
    <xf numFmtId="4" fontId="6" fillId="2" borderId="13" xfId="0" applyNumberFormat="1" applyFont="1" applyFill="1" applyBorder="1"/>
    <xf numFmtId="0" fontId="9" fillId="3" borderId="9" xfId="0" applyFont="1" applyFill="1" applyBorder="1" applyAlignment="1">
      <alignment horizontal="center" vertical="center"/>
    </xf>
    <xf numFmtId="0" fontId="6" fillId="3" borderId="15" xfId="0" applyNumberFormat="1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0" fillId="0" borderId="0" xfId="0" applyBorder="1"/>
    <xf numFmtId="0" fontId="10" fillId="0" borderId="0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/>
    </xf>
    <xf numFmtId="4" fontId="6" fillId="0" borderId="7" xfId="0" applyNumberFormat="1" applyFont="1" applyBorder="1"/>
    <xf numFmtId="0" fontId="3" fillId="3" borderId="1" xfId="0" applyFont="1" applyFill="1" applyBorder="1" applyAlignment="1">
      <alignment horizontal="center" vertical="center"/>
    </xf>
    <xf numFmtId="4" fontId="6" fillId="0" borderId="18" xfId="0" applyNumberFormat="1" applyFont="1" applyBorder="1"/>
    <xf numFmtId="4" fontId="6" fillId="0" borderId="2" xfId="0" applyNumberFormat="1" applyFont="1" applyBorder="1"/>
    <xf numFmtId="0" fontId="3" fillId="3" borderId="27" xfId="0" applyFont="1" applyFill="1" applyBorder="1" applyAlignment="1">
      <alignment horizontal="center" vertical="center"/>
    </xf>
    <xf numFmtId="4" fontId="6" fillId="0" borderId="28" xfId="0" applyNumberFormat="1" applyFont="1" applyBorder="1"/>
    <xf numFmtId="0" fontId="3" fillId="3" borderId="19" xfId="0" applyFont="1" applyFill="1" applyBorder="1" applyAlignment="1">
      <alignment horizontal="center" vertical="center"/>
    </xf>
    <xf numFmtId="4" fontId="6" fillId="3" borderId="20" xfId="0" applyNumberFormat="1" applyFont="1" applyFill="1" applyBorder="1" applyAlignment="1">
      <alignment horizontal="right" vertical="center"/>
    </xf>
    <xf numFmtId="4" fontId="6" fillId="0" borderId="20" xfId="0" applyNumberFormat="1" applyFont="1" applyBorder="1"/>
    <xf numFmtId="4" fontId="6" fillId="0" borderId="21" xfId="0" applyNumberFormat="1" applyFont="1" applyBorder="1"/>
    <xf numFmtId="4" fontId="6" fillId="3" borderId="7" xfId="0" applyNumberFormat="1" applyFont="1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4" fontId="6" fillId="3" borderId="18" xfId="0" applyNumberFormat="1" applyFont="1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4" fontId="6" fillId="3" borderId="20" xfId="0" applyNumberFormat="1" applyFont="1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6" fillId="3" borderId="8" xfId="0" applyNumberFormat="1" applyFont="1" applyFill="1" applyBorder="1" applyAlignment="1">
      <alignment horizontal="center" vertical="center"/>
    </xf>
    <xf numFmtId="0" fontId="6" fillId="3" borderId="7" xfId="0" applyNumberFormat="1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6" fillId="3" borderId="29" xfId="0" applyNumberFormat="1" applyFont="1" applyFill="1" applyBorder="1" applyAlignment="1">
      <alignment horizontal="center" vertical="center"/>
    </xf>
    <xf numFmtId="0" fontId="6" fillId="3" borderId="20" xfId="0" applyNumberFormat="1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0" fontId="6" fillId="3" borderId="31" xfId="0" applyNumberFormat="1" applyFont="1" applyFill="1" applyBorder="1" applyAlignment="1">
      <alignment horizontal="center" vertical="center"/>
    </xf>
    <xf numFmtId="0" fontId="6" fillId="3" borderId="32" xfId="0" applyNumberFormat="1" applyFont="1" applyFill="1" applyBorder="1" applyAlignment="1">
      <alignment horizontal="center" vertical="center"/>
    </xf>
    <xf numFmtId="0" fontId="0" fillId="2" borderId="9" xfId="0" applyNumberFormat="1" applyFill="1" applyBorder="1" applyAlignment="1">
      <alignment horizontal="center" vertical="center"/>
    </xf>
    <xf numFmtId="0" fontId="0" fillId="2" borderId="11" xfId="0" applyNumberFormat="1" applyFill="1" applyBorder="1" applyAlignment="1">
      <alignment horizontal="center" vertical="center"/>
    </xf>
    <xf numFmtId="0" fontId="0" fillId="2" borderId="12" xfId="0" applyNumberFormat="1" applyFill="1" applyBorder="1" applyAlignment="1">
      <alignment horizontal="center" vertical="center"/>
    </xf>
    <xf numFmtId="0" fontId="11" fillId="3" borderId="35" xfId="0" applyFont="1" applyFill="1" applyBorder="1" applyAlignment="1">
      <alignment horizontal="center" vertical="center" wrapText="1"/>
    </xf>
    <xf numFmtId="0" fontId="11" fillId="3" borderId="33" xfId="0" applyFont="1" applyFill="1" applyBorder="1" applyAlignment="1">
      <alignment horizontal="center" vertical="center" wrapText="1"/>
    </xf>
    <xf numFmtId="0" fontId="11" fillId="3" borderId="34" xfId="0" applyFont="1" applyFill="1" applyBorder="1" applyAlignment="1">
      <alignment horizontal="center" vertical="center" wrapText="1"/>
    </xf>
    <xf numFmtId="0" fontId="3" fillId="3" borderId="31" xfId="0" applyFont="1" applyFill="1" applyBorder="1" applyAlignment="1">
      <alignment horizontal="center" vertical="center"/>
    </xf>
    <xf numFmtId="4" fontId="6" fillId="3" borderId="32" xfId="0" applyNumberFormat="1" applyFont="1" applyFill="1" applyBorder="1" applyAlignment="1">
      <alignment horizontal="center" vertical="center"/>
    </xf>
    <xf numFmtId="0" fontId="0" fillId="3" borderId="32" xfId="0" applyFill="1" applyBorder="1" applyAlignment="1">
      <alignment horizontal="center" vertical="center"/>
    </xf>
    <xf numFmtId="4" fontId="6" fillId="2" borderId="3" xfId="0" applyNumberFormat="1" applyFont="1" applyFill="1" applyBorder="1"/>
    <xf numFmtId="4" fontId="15" fillId="0" borderId="9" xfId="0" applyNumberFormat="1" applyFont="1" applyBorder="1"/>
    <xf numFmtId="4" fontId="15" fillId="3" borderId="9" xfId="0" applyNumberFormat="1" applyFont="1" applyFill="1" applyBorder="1"/>
    <xf numFmtId="4" fontId="6" fillId="0" borderId="32" xfId="0" applyNumberFormat="1" applyFont="1" applyBorder="1"/>
    <xf numFmtId="0" fontId="3" fillId="2" borderId="10" xfId="0" applyFont="1" applyFill="1" applyBorder="1" applyAlignment="1">
      <alignment horizontal="center" vertical="center"/>
    </xf>
    <xf numFmtId="4" fontId="0" fillId="2" borderId="9" xfId="0" applyNumberFormat="1" applyFill="1" applyBorder="1" applyAlignment="1">
      <alignment horizontal="center" vertical="center"/>
    </xf>
    <xf numFmtId="4" fontId="0" fillId="2" borderId="11" xfId="0" applyNumberFormat="1" applyFill="1" applyBorder="1" applyAlignment="1">
      <alignment horizontal="center" vertical="center"/>
    </xf>
    <xf numFmtId="4" fontId="0" fillId="2" borderId="12" xfId="0" applyNumberForma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/>
    </xf>
    <xf numFmtId="0" fontId="12" fillId="3" borderId="11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0" fontId="7" fillId="3" borderId="36" xfId="0" applyFont="1" applyFill="1" applyBorder="1" applyAlignment="1">
      <alignment horizontal="center" vertical="center"/>
    </xf>
    <xf numFmtId="0" fontId="7" fillId="3" borderId="28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/>
    </xf>
    <xf numFmtId="0" fontId="8" fillId="3" borderId="36" xfId="0" applyFont="1" applyFill="1" applyBorder="1" applyAlignment="1">
      <alignment horizontal="center" vertical="center" wrapText="1"/>
    </xf>
    <xf numFmtId="0" fontId="8" fillId="3" borderId="28" xfId="0" applyFont="1" applyFill="1" applyBorder="1" applyAlignment="1">
      <alignment horizontal="center" vertical="center" wrapText="1"/>
    </xf>
    <xf numFmtId="0" fontId="7" fillId="3" borderId="28" xfId="0" applyFont="1" applyFill="1" applyBorder="1" applyAlignment="1">
      <alignment horizontal="center" vertical="center" wrapText="1"/>
    </xf>
    <xf numFmtId="0" fontId="8" fillId="3" borderId="37" xfId="0" applyFont="1" applyFill="1" applyBorder="1" applyAlignment="1">
      <alignment horizontal="center" vertical="center" wrapText="1"/>
    </xf>
    <xf numFmtId="0" fontId="12" fillId="3" borderId="38" xfId="0" applyFont="1" applyFill="1" applyBorder="1" applyAlignment="1">
      <alignment horizontal="center" vertical="center" wrapText="1"/>
    </xf>
    <xf numFmtId="4" fontId="6" fillId="0" borderId="36" xfId="0" applyNumberFormat="1" applyFont="1" applyBorder="1"/>
    <xf numFmtId="4" fontId="6" fillId="0" borderId="37" xfId="0" applyNumberFormat="1" applyFont="1" applyBorder="1"/>
    <xf numFmtId="0" fontId="16" fillId="3" borderId="6" xfId="0" applyFont="1" applyFill="1" applyBorder="1" applyAlignment="1">
      <alignment horizontal="center" vertical="center"/>
    </xf>
    <xf numFmtId="0" fontId="9" fillId="3" borderId="39" xfId="0" applyFont="1" applyFill="1" applyBorder="1" applyAlignment="1">
      <alignment horizontal="center" vertical="center"/>
    </xf>
    <xf numFmtId="0" fontId="3" fillId="3" borderId="39" xfId="0" applyFont="1" applyFill="1" applyBorder="1" applyAlignment="1">
      <alignment horizontal="center" vertical="center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wrapText="1"/>
    </xf>
    <xf numFmtId="0" fontId="0" fillId="0" borderId="5" xfId="0" applyFill="1" applyBorder="1" applyAlignment="1">
      <alignment horizontal="center" vertical="center"/>
    </xf>
    <xf numFmtId="0" fontId="12" fillId="3" borderId="17" xfId="0" applyFont="1" applyFill="1" applyBorder="1" applyAlignment="1">
      <alignment horizontal="center" vertical="center" wrapText="1"/>
    </xf>
    <xf numFmtId="0" fontId="0" fillId="3" borderId="50" xfId="0" applyFill="1" applyBorder="1" applyAlignment="1">
      <alignment horizontal="center" vertical="center"/>
    </xf>
    <xf numFmtId="0" fontId="0" fillId="3" borderId="51" xfId="0" applyFill="1" applyBorder="1" applyAlignment="1">
      <alignment horizontal="center" vertical="center"/>
    </xf>
    <xf numFmtId="0" fontId="0" fillId="3" borderId="52" xfId="0" applyFill="1" applyBorder="1" applyAlignment="1">
      <alignment horizontal="center" vertical="center"/>
    </xf>
    <xf numFmtId="0" fontId="0" fillId="3" borderId="53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3" borderId="54" xfId="0" applyFill="1" applyBorder="1" applyAlignment="1">
      <alignment horizontal="center" vertical="center"/>
    </xf>
    <xf numFmtId="0" fontId="12" fillId="3" borderId="49" xfId="0" applyFont="1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19" fillId="0" borderId="0" xfId="0" applyFont="1"/>
    <xf numFmtId="0" fontId="5" fillId="3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2" fillId="3" borderId="43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45" xfId="0" applyFont="1" applyFill="1" applyBorder="1" applyAlignment="1">
      <alignment horizontal="center" vertical="center" wrapText="1"/>
    </xf>
    <xf numFmtId="0" fontId="2" fillId="3" borderId="46" xfId="0" applyFont="1" applyFill="1" applyBorder="1" applyAlignment="1">
      <alignment horizontal="center" vertical="center" wrapText="1"/>
    </xf>
    <xf numFmtId="0" fontId="2" fillId="3" borderId="47" xfId="0" applyFont="1" applyFill="1" applyBorder="1" applyAlignment="1">
      <alignment horizontal="center" vertical="center" wrapText="1"/>
    </xf>
    <xf numFmtId="0" fontId="2" fillId="3" borderId="48" xfId="0" applyFont="1" applyFill="1" applyBorder="1" applyAlignment="1">
      <alignment horizontal="center" vertical="center" wrapText="1"/>
    </xf>
    <xf numFmtId="0" fontId="2" fillId="3" borderId="49" xfId="0" applyFont="1" applyFill="1" applyBorder="1" applyAlignment="1">
      <alignment horizontal="center" vertical="center" wrapText="1"/>
    </xf>
    <xf numFmtId="0" fontId="2" fillId="3" borderId="44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6"/>
  <sheetViews>
    <sheetView tabSelected="1" workbookViewId="0">
      <selection activeCell="J17" sqref="J17"/>
    </sheetView>
  </sheetViews>
  <sheetFormatPr defaultRowHeight="15" x14ac:dyDescent="0.25"/>
  <cols>
    <col min="1" max="1" width="11.85546875" customWidth="1"/>
    <col min="2" max="2" width="21.42578125" customWidth="1"/>
    <col min="3" max="3" width="15.140625" customWidth="1"/>
    <col min="4" max="4" width="25" customWidth="1"/>
    <col min="5" max="5" width="15" customWidth="1"/>
    <col min="6" max="6" width="14.42578125" customWidth="1"/>
    <col min="7" max="7" width="12.5703125" customWidth="1"/>
    <col min="8" max="8" width="13.28515625" customWidth="1"/>
    <col min="9" max="9" width="16.5703125" customWidth="1"/>
    <col min="10" max="10" width="20.5703125" customWidth="1"/>
    <col min="11" max="11" width="12.5703125" customWidth="1"/>
    <col min="12" max="12" width="5.42578125" customWidth="1"/>
    <col min="13" max="13" width="10.7109375" customWidth="1"/>
  </cols>
  <sheetData>
    <row r="1" spans="1:13" ht="15.75" thickBot="1" x14ac:dyDescent="0.3">
      <c r="A1" s="96" t="s">
        <v>59</v>
      </c>
    </row>
    <row r="2" spans="1:13" ht="24.75" customHeight="1" thickBot="1" x14ac:dyDescent="0.3">
      <c r="A2" s="118" t="s">
        <v>55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M2" s="126" t="s">
        <v>44</v>
      </c>
    </row>
    <row r="3" spans="1:13" ht="15" customHeight="1" x14ac:dyDescent="0.25">
      <c r="A3" s="135" t="s">
        <v>0</v>
      </c>
      <c r="B3" s="142" t="s">
        <v>1</v>
      </c>
      <c r="C3" s="145" t="s">
        <v>34</v>
      </c>
      <c r="D3" s="146"/>
      <c r="E3" s="147"/>
      <c r="F3" s="97" t="s">
        <v>35</v>
      </c>
      <c r="G3" s="97" t="s">
        <v>3</v>
      </c>
      <c r="H3" s="99" t="s">
        <v>2</v>
      </c>
      <c r="I3" s="120" t="s">
        <v>26</v>
      </c>
      <c r="J3" s="121"/>
      <c r="K3" s="122"/>
      <c r="M3" s="127"/>
    </row>
    <row r="4" spans="1:13" ht="15.75" thickBot="1" x14ac:dyDescent="0.3">
      <c r="A4" s="136"/>
      <c r="B4" s="143"/>
      <c r="C4" s="148"/>
      <c r="D4" s="149"/>
      <c r="E4" s="150"/>
      <c r="F4" s="98"/>
      <c r="G4" s="98"/>
      <c r="H4" s="100"/>
      <c r="I4" s="123"/>
      <c r="J4" s="124"/>
      <c r="K4" s="125"/>
      <c r="M4" s="128"/>
    </row>
    <row r="5" spans="1:13" ht="48.75" customHeight="1" thickBot="1" x14ac:dyDescent="0.3">
      <c r="A5" s="6" t="s">
        <v>32</v>
      </c>
      <c r="B5" s="78"/>
      <c r="C5" s="62" t="s">
        <v>37</v>
      </c>
      <c r="D5" s="62" t="s">
        <v>33</v>
      </c>
      <c r="E5" s="63" t="s">
        <v>29</v>
      </c>
      <c r="F5" s="62" t="s">
        <v>38</v>
      </c>
      <c r="G5" s="64" t="s">
        <v>38</v>
      </c>
      <c r="H5" s="62" t="s">
        <v>38</v>
      </c>
      <c r="I5" s="82" t="s">
        <v>39</v>
      </c>
      <c r="J5" s="89" t="s">
        <v>30</v>
      </c>
      <c r="K5" s="62" t="s">
        <v>58</v>
      </c>
      <c r="M5" s="76" t="s">
        <v>57</v>
      </c>
    </row>
    <row r="6" spans="1:13" ht="15.75" thickBot="1" x14ac:dyDescent="0.3">
      <c r="A6" s="132" t="s">
        <v>51</v>
      </c>
      <c r="B6" s="22" t="s">
        <v>4</v>
      </c>
      <c r="C6" s="33">
        <f>1935.13+33.6</f>
        <v>1968.73</v>
      </c>
      <c r="D6" s="33">
        <f>C6-E6</f>
        <v>232.22000000000003</v>
      </c>
      <c r="E6" s="33">
        <v>1736.51</v>
      </c>
      <c r="F6" s="33">
        <v>42.85</v>
      </c>
      <c r="G6" s="33">
        <v>566.9</v>
      </c>
      <c r="H6" s="33">
        <v>94.76</v>
      </c>
      <c r="I6" s="34">
        <v>0</v>
      </c>
      <c r="J6" s="83">
        <v>0</v>
      </c>
      <c r="K6" s="94"/>
      <c r="M6" s="12">
        <f t="shared" ref="M6:M27" si="0">C6+F6+G6+H6</f>
        <v>2673.2400000000002</v>
      </c>
    </row>
    <row r="7" spans="1:13" ht="15.75" thickBot="1" x14ac:dyDescent="0.3">
      <c r="A7" s="133"/>
      <c r="B7" s="25" t="s">
        <v>5</v>
      </c>
      <c r="C7" s="2">
        <f>511.21+17.88</f>
        <v>529.09</v>
      </c>
      <c r="D7" s="2">
        <f>C7-E7</f>
        <v>68.37</v>
      </c>
      <c r="E7" s="2">
        <v>460.72</v>
      </c>
      <c r="F7" s="2">
        <f>44.56</f>
        <v>44.56</v>
      </c>
      <c r="G7" s="2">
        <f>115.6</f>
        <v>115.6</v>
      </c>
      <c r="H7" s="2">
        <f>32.28</f>
        <v>32.28</v>
      </c>
      <c r="I7" s="4">
        <v>0</v>
      </c>
      <c r="J7" s="84">
        <v>0</v>
      </c>
      <c r="K7" s="90"/>
      <c r="M7" s="12">
        <f t="shared" si="0"/>
        <v>721.53000000000009</v>
      </c>
    </row>
    <row r="8" spans="1:13" ht="15.75" thickBot="1" x14ac:dyDescent="0.3">
      <c r="A8" s="134"/>
      <c r="B8" s="27" t="s">
        <v>6</v>
      </c>
      <c r="C8" s="35">
        <f>462.92+75.83</f>
        <v>538.75</v>
      </c>
      <c r="D8" s="35">
        <f t="shared" ref="D8:D27" si="1">C8-E8</f>
        <v>236.07</v>
      </c>
      <c r="E8" s="35">
        <v>302.68</v>
      </c>
      <c r="F8" s="35">
        <v>12.06</v>
      </c>
      <c r="G8" s="35">
        <v>63.3</v>
      </c>
      <c r="H8" s="35">
        <v>61.32</v>
      </c>
      <c r="I8" s="36">
        <v>0</v>
      </c>
      <c r="J8" s="85">
        <v>0</v>
      </c>
      <c r="K8" s="95"/>
      <c r="M8" s="12">
        <f t="shared" si="0"/>
        <v>675.43</v>
      </c>
    </row>
    <row r="9" spans="1:13" ht="15.75" thickBot="1" x14ac:dyDescent="0.3">
      <c r="A9" s="129" t="s">
        <v>52</v>
      </c>
      <c r="B9" s="20" t="s">
        <v>7</v>
      </c>
      <c r="C9" s="31">
        <f>461.4+98.29</f>
        <v>559.68999999999994</v>
      </c>
      <c r="D9" s="31">
        <f t="shared" si="1"/>
        <v>309.98999999999995</v>
      </c>
      <c r="E9" s="31">
        <v>249.7</v>
      </c>
      <c r="F9" s="31">
        <v>37.49</v>
      </c>
      <c r="G9" s="31">
        <v>127.59</v>
      </c>
      <c r="H9" s="31">
        <f>5.24+27.57</f>
        <v>32.81</v>
      </c>
      <c r="I9" s="32">
        <v>0</v>
      </c>
      <c r="J9" s="86">
        <v>0</v>
      </c>
      <c r="K9" s="93"/>
      <c r="M9" s="12">
        <f t="shared" si="0"/>
        <v>757.57999999999993</v>
      </c>
    </row>
    <row r="10" spans="1:13" ht="15.75" thickBot="1" x14ac:dyDescent="0.3">
      <c r="A10" s="130"/>
      <c r="B10" s="17" t="s">
        <v>8</v>
      </c>
      <c r="C10" s="2">
        <f>302.84+61.4</f>
        <v>364.23999999999995</v>
      </c>
      <c r="D10" s="2">
        <f t="shared" si="1"/>
        <v>112.09999999999997</v>
      </c>
      <c r="E10" s="2">
        <v>252.14</v>
      </c>
      <c r="F10" s="2">
        <v>14.44</v>
      </c>
      <c r="G10" s="2">
        <f>123.72</f>
        <v>123.72</v>
      </c>
      <c r="H10" s="2">
        <f>22.89+1.86</f>
        <v>24.75</v>
      </c>
      <c r="I10" s="4">
        <v>0</v>
      </c>
      <c r="J10" s="84">
        <v>0</v>
      </c>
      <c r="K10" s="90"/>
      <c r="M10" s="12">
        <f t="shared" si="0"/>
        <v>527.15</v>
      </c>
    </row>
    <row r="11" spans="1:13" ht="15.75" thickBot="1" x14ac:dyDescent="0.3">
      <c r="A11" s="130"/>
      <c r="B11" s="17" t="s">
        <v>9</v>
      </c>
      <c r="C11" s="2">
        <f>215.52+81.77</f>
        <v>297.29000000000002</v>
      </c>
      <c r="D11" s="2">
        <f t="shared" si="1"/>
        <v>132.71</v>
      </c>
      <c r="E11" s="2">
        <v>164.58</v>
      </c>
      <c r="F11" s="2">
        <v>15.74</v>
      </c>
      <c r="G11" s="2">
        <v>86.06</v>
      </c>
      <c r="H11" s="2">
        <v>16</v>
      </c>
      <c r="I11" s="4">
        <v>0</v>
      </c>
      <c r="J11" s="84">
        <v>0</v>
      </c>
      <c r="K11" s="90"/>
      <c r="M11" s="12">
        <f t="shared" si="0"/>
        <v>415.09000000000003</v>
      </c>
    </row>
    <row r="12" spans="1:13" ht="52.5" customHeight="1" thickBot="1" x14ac:dyDescent="0.3">
      <c r="A12" s="130"/>
      <c r="B12" s="17" t="s">
        <v>10</v>
      </c>
      <c r="C12" s="2">
        <f>219.08+83</f>
        <v>302.08000000000004</v>
      </c>
      <c r="D12" s="2">
        <f t="shared" si="1"/>
        <v>106.47000000000003</v>
      </c>
      <c r="E12" s="2">
        <v>195.61</v>
      </c>
      <c r="F12" s="2">
        <v>10.4</v>
      </c>
      <c r="G12" s="2">
        <v>83.04</v>
      </c>
      <c r="H12" s="2">
        <f>2.43+13.45</f>
        <v>15.879999999999999</v>
      </c>
      <c r="I12" s="81">
        <v>155</v>
      </c>
      <c r="J12" s="87">
        <v>650.1</v>
      </c>
      <c r="K12" s="91">
        <v>147.5</v>
      </c>
      <c r="L12" s="79"/>
      <c r="M12" s="12">
        <f>C12+F12+G12+H12</f>
        <v>411.40000000000003</v>
      </c>
    </row>
    <row r="13" spans="1:13" ht="15.75" thickBot="1" x14ac:dyDescent="0.3">
      <c r="A13" s="130"/>
      <c r="B13" s="17" t="s">
        <v>11</v>
      </c>
      <c r="C13" s="2">
        <f>155.9+32</f>
        <v>187.9</v>
      </c>
      <c r="D13" s="2">
        <f t="shared" si="1"/>
        <v>70.600000000000009</v>
      </c>
      <c r="E13" s="2">
        <v>117.3</v>
      </c>
      <c r="F13" s="2">
        <v>6.7</v>
      </c>
      <c r="G13" s="2">
        <v>44.6</v>
      </c>
      <c r="H13" s="2">
        <f>5.5+11</f>
        <v>16.5</v>
      </c>
      <c r="I13" s="81">
        <v>0</v>
      </c>
      <c r="J13" s="87">
        <v>0</v>
      </c>
      <c r="K13" s="91"/>
      <c r="M13" s="12">
        <f t="shared" si="0"/>
        <v>255.7</v>
      </c>
    </row>
    <row r="14" spans="1:13" ht="59.25" customHeight="1" thickBot="1" x14ac:dyDescent="0.3">
      <c r="A14" s="130"/>
      <c r="B14" s="17" t="s">
        <v>12</v>
      </c>
      <c r="C14" s="2">
        <f>223.23+81.6</f>
        <v>304.83</v>
      </c>
      <c r="D14" s="2">
        <f t="shared" si="1"/>
        <v>123.32999999999998</v>
      </c>
      <c r="E14" s="2">
        <v>181.5</v>
      </c>
      <c r="F14" s="2">
        <v>15.4</v>
      </c>
      <c r="G14" s="2">
        <v>103.29</v>
      </c>
      <c r="H14" s="2">
        <f>3.6+16.78</f>
        <v>20.380000000000003</v>
      </c>
      <c r="I14" s="81">
        <v>0</v>
      </c>
      <c r="J14" s="87">
        <v>330</v>
      </c>
      <c r="K14" s="91">
        <v>42.56</v>
      </c>
      <c r="L14" s="80"/>
      <c r="M14" s="12">
        <f t="shared" si="0"/>
        <v>443.9</v>
      </c>
    </row>
    <row r="15" spans="1:13" ht="15.75" thickBot="1" x14ac:dyDescent="0.3">
      <c r="A15" s="130"/>
      <c r="B15" s="17" t="s">
        <v>13</v>
      </c>
      <c r="C15" s="2">
        <f>284.53+72.72</f>
        <v>357.25</v>
      </c>
      <c r="D15" s="2">
        <f t="shared" si="1"/>
        <v>128.66999999999999</v>
      </c>
      <c r="E15" s="2">
        <v>228.58</v>
      </c>
      <c r="F15" s="2">
        <f>17.36</f>
        <v>17.36</v>
      </c>
      <c r="G15" s="2">
        <f>135.95</f>
        <v>135.94999999999999</v>
      </c>
      <c r="H15" s="2">
        <f>5.89+10.14</f>
        <v>16.03</v>
      </c>
      <c r="I15" s="4">
        <v>0</v>
      </c>
      <c r="J15" s="84">
        <v>0</v>
      </c>
      <c r="K15" s="90"/>
      <c r="M15" s="12">
        <f t="shared" si="0"/>
        <v>526.59</v>
      </c>
    </row>
    <row r="16" spans="1:13" ht="15.75" thickBot="1" x14ac:dyDescent="0.3">
      <c r="A16" s="130"/>
      <c r="B16" s="17" t="s">
        <v>14</v>
      </c>
      <c r="C16" s="2">
        <f>325.84+74.44</f>
        <v>400.28</v>
      </c>
      <c r="D16" s="2">
        <f t="shared" si="1"/>
        <v>109.07999999999998</v>
      </c>
      <c r="E16" s="2">
        <v>291.2</v>
      </c>
      <c r="F16" s="2">
        <v>20.8</v>
      </c>
      <c r="G16" s="2">
        <v>71.89</v>
      </c>
      <c r="H16" s="2">
        <f>20.02+19.6</f>
        <v>39.620000000000005</v>
      </c>
      <c r="I16" s="4">
        <v>0</v>
      </c>
      <c r="J16" s="84">
        <v>0</v>
      </c>
      <c r="K16" s="90"/>
      <c r="M16" s="12">
        <f t="shared" si="0"/>
        <v>532.58999999999992</v>
      </c>
    </row>
    <row r="17" spans="1:13" ht="15.75" thickBot="1" x14ac:dyDescent="0.3">
      <c r="A17" s="130"/>
      <c r="B17" s="17" t="s">
        <v>15</v>
      </c>
      <c r="C17" s="2">
        <f>179.6+33.4</f>
        <v>213</v>
      </c>
      <c r="D17" s="2">
        <f t="shared" si="1"/>
        <v>65.800000000000011</v>
      </c>
      <c r="E17" s="2">
        <v>147.19999999999999</v>
      </c>
      <c r="F17" s="2">
        <v>15.9</v>
      </c>
      <c r="G17" s="2">
        <v>49.2</v>
      </c>
      <c r="H17" s="2">
        <f>4.9+10</f>
        <v>14.9</v>
      </c>
      <c r="I17" s="4">
        <v>0</v>
      </c>
      <c r="J17" s="84">
        <v>0</v>
      </c>
      <c r="K17" s="90"/>
      <c r="M17" s="12">
        <f t="shared" si="0"/>
        <v>293</v>
      </c>
    </row>
    <row r="18" spans="1:13" ht="15.75" thickBot="1" x14ac:dyDescent="0.3">
      <c r="A18" s="130"/>
      <c r="B18" s="17" t="s">
        <v>16</v>
      </c>
      <c r="C18" s="2">
        <f>372.38+56.53</f>
        <v>428.90999999999997</v>
      </c>
      <c r="D18" s="2">
        <f t="shared" si="1"/>
        <v>205.39999999999998</v>
      </c>
      <c r="E18" s="2">
        <v>223.51</v>
      </c>
      <c r="F18" s="2">
        <v>52.04</v>
      </c>
      <c r="G18" s="2">
        <v>139.80000000000001</v>
      </c>
      <c r="H18" s="2">
        <f>8.37+51.78</f>
        <v>60.15</v>
      </c>
      <c r="I18" s="4">
        <v>0</v>
      </c>
      <c r="J18" s="84">
        <v>0</v>
      </c>
      <c r="K18" s="90"/>
      <c r="M18" s="12">
        <f t="shared" si="0"/>
        <v>680.9</v>
      </c>
    </row>
    <row r="19" spans="1:13" ht="15.75" thickBot="1" x14ac:dyDescent="0.3">
      <c r="A19" s="130"/>
      <c r="B19" s="17" t="s">
        <v>17</v>
      </c>
      <c r="C19" s="2">
        <f>186.6+20.6</f>
        <v>207.2</v>
      </c>
      <c r="D19" s="2">
        <f t="shared" si="1"/>
        <v>118.6</v>
      </c>
      <c r="E19" s="2">
        <v>88.6</v>
      </c>
      <c r="F19" s="2">
        <v>9.5</v>
      </c>
      <c r="G19" s="2">
        <v>58.6</v>
      </c>
      <c r="H19" s="2">
        <f>7.5+3</f>
        <v>10.5</v>
      </c>
      <c r="I19" s="4">
        <v>0</v>
      </c>
      <c r="J19" s="84">
        <v>0</v>
      </c>
      <c r="K19" s="90"/>
      <c r="M19" s="12">
        <f t="shared" si="0"/>
        <v>285.8</v>
      </c>
    </row>
    <row r="20" spans="1:13" ht="15.75" thickBot="1" x14ac:dyDescent="0.3">
      <c r="A20" s="130"/>
      <c r="B20" s="17" t="s">
        <v>18</v>
      </c>
      <c r="C20" s="2">
        <f>195.44+67.5</f>
        <v>262.94</v>
      </c>
      <c r="D20" s="2">
        <f t="shared" si="1"/>
        <v>89.539999999999992</v>
      </c>
      <c r="E20" s="2">
        <v>173.4</v>
      </c>
      <c r="F20" s="2">
        <v>14.1</v>
      </c>
      <c r="G20" s="2">
        <v>56.52</v>
      </c>
      <c r="H20" s="2">
        <v>16.899999999999999</v>
      </c>
      <c r="I20" s="4">
        <v>0</v>
      </c>
      <c r="J20" s="84">
        <v>0</v>
      </c>
      <c r="K20" s="90"/>
      <c r="M20" s="12">
        <f t="shared" si="0"/>
        <v>350.46</v>
      </c>
    </row>
    <row r="21" spans="1:13" ht="15.75" thickBot="1" x14ac:dyDescent="0.3">
      <c r="A21" s="130"/>
      <c r="B21" s="17" t="s">
        <v>19</v>
      </c>
      <c r="C21" s="2">
        <f>245.73+41.6</f>
        <v>287.33</v>
      </c>
      <c r="D21" s="2">
        <f t="shared" si="1"/>
        <v>114.39999999999998</v>
      </c>
      <c r="E21" s="2">
        <v>172.93</v>
      </c>
      <c r="F21" s="2">
        <v>19.899999999999999</v>
      </c>
      <c r="G21" s="2">
        <v>112.62</v>
      </c>
      <c r="H21" s="2">
        <f>3.6+3.6</f>
        <v>7.2</v>
      </c>
      <c r="I21" s="4">
        <v>0</v>
      </c>
      <c r="J21" s="84">
        <v>0</v>
      </c>
      <c r="K21" s="90"/>
      <c r="M21" s="12">
        <f t="shared" si="0"/>
        <v>427.04999999999995</v>
      </c>
    </row>
    <row r="22" spans="1:13" ht="15.75" thickBot="1" x14ac:dyDescent="0.3">
      <c r="A22" s="130"/>
      <c r="B22" s="17" t="s">
        <v>20</v>
      </c>
      <c r="C22" s="2">
        <f>186.13+95.54</f>
        <v>281.67</v>
      </c>
      <c r="D22" s="2">
        <f t="shared" si="1"/>
        <v>153.67000000000002</v>
      </c>
      <c r="E22" s="2">
        <v>128</v>
      </c>
      <c r="F22" s="2">
        <v>9.6</v>
      </c>
      <c r="G22" s="2">
        <v>67</v>
      </c>
      <c r="H22" s="2">
        <f>18.8+6.7</f>
        <v>25.5</v>
      </c>
      <c r="I22" s="4">
        <v>0</v>
      </c>
      <c r="J22" s="84">
        <v>0</v>
      </c>
      <c r="K22" s="90"/>
      <c r="M22" s="12">
        <f t="shared" si="0"/>
        <v>383.77000000000004</v>
      </c>
    </row>
    <row r="23" spans="1:13" ht="15.75" thickBot="1" x14ac:dyDescent="0.3">
      <c r="A23" s="130"/>
      <c r="B23" s="17" t="s">
        <v>21</v>
      </c>
      <c r="C23" s="2">
        <f>148.5+21.7</f>
        <v>170.2</v>
      </c>
      <c r="D23" s="2">
        <f t="shared" si="1"/>
        <v>42.399999999999991</v>
      </c>
      <c r="E23" s="2">
        <v>127.8</v>
      </c>
      <c r="F23" s="2">
        <v>14.4</v>
      </c>
      <c r="G23" s="2">
        <v>56</v>
      </c>
      <c r="H23" s="2">
        <v>14.3</v>
      </c>
      <c r="I23" s="4">
        <v>0</v>
      </c>
      <c r="J23" s="84">
        <v>0</v>
      </c>
      <c r="K23" s="90"/>
      <c r="M23" s="12">
        <f t="shared" si="0"/>
        <v>254.9</v>
      </c>
    </row>
    <row r="24" spans="1:13" ht="15.75" thickBot="1" x14ac:dyDescent="0.3">
      <c r="A24" s="130"/>
      <c r="B24" s="17" t="s">
        <v>22</v>
      </c>
      <c r="C24" s="2">
        <f>172+35</f>
        <v>207</v>
      </c>
      <c r="D24" s="2">
        <f t="shared" si="1"/>
        <v>76.599999999999994</v>
      </c>
      <c r="E24" s="2">
        <v>130.4</v>
      </c>
      <c r="F24" s="2">
        <v>11.1</v>
      </c>
      <c r="G24" s="2">
        <v>41.5</v>
      </c>
      <c r="H24" s="2">
        <f>3.2+4.2</f>
        <v>7.4</v>
      </c>
      <c r="I24" s="4">
        <v>0</v>
      </c>
      <c r="J24" s="84">
        <v>0</v>
      </c>
      <c r="K24" s="90"/>
      <c r="M24" s="12">
        <f t="shared" si="0"/>
        <v>267</v>
      </c>
    </row>
    <row r="25" spans="1:13" ht="15.75" thickBot="1" x14ac:dyDescent="0.3">
      <c r="A25" s="130"/>
      <c r="B25" s="17" t="s">
        <v>23</v>
      </c>
      <c r="C25" s="2">
        <f>325.15+66.7</f>
        <v>391.84999999999997</v>
      </c>
      <c r="D25" s="2">
        <f t="shared" si="1"/>
        <v>108.89999999999998</v>
      </c>
      <c r="E25" s="2">
        <v>282.95</v>
      </c>
      <c r="F25" s="2">
        <v>47.13</v>
      </c>
      <c r="G25" s="2">
        <f>168.35</f>
        <v>168.35</v>
      </c>
      <c r="H25" s="2">
        <f>11.6+34.58</f>
        <v>46.18</v>
      </c>
      <c r="I25" s="4">
        <v>200</v>
      </c>
      <c r="J25" s="84">
        <v>726.7</v>
      </c>
      <c r="K25" s="90"/>
      <c r="M25" s="12">
        <f t="shared" si="0"/>
        <v>653.50999999999988</v>
      </c>
    </row>
    <row r="26" spans="1:13" ht="15.75" thickBot="1" x14ac:dyDescent="0.3">
      <c r="A26" s="130"/>
      <c r="B26" s="17" t="s">
        <v>24</v>
      </c>
      <c r="C26" s="2">
        <f>155.5+32.5</f>
        <v>188</v>
      </c>
      <c r="D26" s="2">
        <f t="shared" si="1"/>
        <v>67.3</v>
      </c>
      <c r="E26" s="2">
        <v>120.7</v>
      </c>
      <c r="F26" s="2">
        <v>10</v>
      </c>
      <c r="G26" s="2">
        <v>46.69</v>
      </c>
      <c r="H26" s="2">
        <f>4.6+11.6</f>
        <v>16.2</v>
      </c>
      <c r="I26" s="4">
        <v>0</v>
      </c>
      <c r="J26" s="84">
        <v>0</v>
      </c>
      <c r="K26" s="90"/>
      <c r="M26" s="12">
        <f t="shared" si="0"/>
        <v>260.89</v>
      </c>
    </row>
    <row r="27" spans="1:13" ht="15.75" thickBot="1" x14ac:dyDescent="0.3">
      <c r="A27" s="131"/>
      <c r="B27" s="51" t="s">
        <v>25</v>
      </c>
      <c r="C27" s="52">
        <f>467.34+107.68</f>
        <v>575.02</v>
      </c>
      <c r="D27" s="52">
        <f t="shared" si="1"/>
        <v>183.41999999999996</v>
      </c>
      <c r="E27" s="52">
        <v>391.6</v>
      </c>
      <c r="F27" s="52">
        <f>48.59</f>
        <v>48.59</v>
      </c>
      <c r="G27" s="52">
        <v>214.46</v>
      </c>
      <c r="H27" s="52">
        <f>8.88+20.96</f>
        <v>29.840000000000003</v>
      </c>
      <c r="I27" s="53">
        <v>0</v>
      </c>
      <c r="J27" s="88">
        <v>0</v>
      </c>
      <c r="K27" s="92"/>
      <c r="M27" s="54">
        <f t="shared" si="0"/>
        <v>867.91000000000008</v>
      </c>
    </row>
    <row r="28" spans="1:13" ht="15.75" thickBot="1" x14ac:dyDescent="0.3">
      <c r="A28" s="7" t="s">
        <v>27</v>
      </c>
      <c r="B28" s="58"/>
      <c r="C28" s="59">
        <f>SUM(C6:C27)</f>
        <v>9023.2499999999982</v>
      </c>
      <c r="D28" s="60">
        <f t="shared" ref="D28:E28" si="2">SUM(D6:D27)</f>
        <v>2855.6400000000003</v>
      </c>
      <c r="E28" s="59">
        <f t="shared" si="2"/>
        <v>6167.61</v>
      </c>
      <c r="F28" s="60">
        <f t="shared" ref="F28:K28" si="3">SUM(F6:F27)</f>
        <v>490.06000000000006</v>
      </c>
      <c r="G28" s="59">
        <f t="shared" si="3"/>
        <v>2532.6799999999998</v>
      </c>
      <c r="H28" s="60">
        <f t="shared" si="3"/>
        <v>619.4</v>
      </c>
      <c r="I28" s="59">
        <f t="shared" si="3"/>
        <v>355</v>
      </c>
      <c r="J28" s="60">
        <f t="shared" si="3"/>
        <v>1706.8000000000002</v>
      </c>
      <c r="K28" s="59">
        <f t="shared" si="3"/>
        <v>190.06</v>
      </c>
      <c r="M28" s="55">
        <f>SUM(M6:M27)</f>
        <v>12665.389999999998</v>
      </c>
    </row>
    <row r="29" spans="1:13" ht="15.75" thickBot="1" x14ac:dyDescent="0.3">
      <c r="G29" s="5"/>
      <c r="H29" s="5"/>
      <c r="I29" s="5"/>
      <c r="J29" s="5"/>
      <c r="K29" s="5"/>
    </row>
    <row r="30" spans="1:13" ht="24.75" customHeight="1" thickBot="1" x14ac:dyDescent="0.3">
      <c r="A30" s="137" t="s">
        <v>56</v>
      </c>
      <c r="B30" s="138"/>
      <c r="C30" s="138"/>
      <c r="D30" s="138"/>
      <c r="E30" s="138"/>
      <c r="F30" s="138"/>
      <c r="G30" s="138"/>
      <c r="H30" s="139"/>
      <c r="I30" s="5"/>
      <c r="J30" s="5"/>
      <c r="K30" s="5"/>
      <c r="M30" s="126" t="s">
        <v>43</v>
      </c>
    </row>
    <row r="31" spans="1:13" ht="15" customHeight="1" x14ac:dyDescent="0.25">
      <c r="A31" s="140" t="s">
        <v>0</v>
      </c>
      <c r="B31" s="142" t="s">
        <v>1</v>
      </c>
      <c r="C31" s="99" t="s">
        <v>46</v>
      </c>
      <c r="D31" s="99" t="s">
        <v>48</v>
      </c>
      <c r="E31" s="99" t="s">
        <v>47</v>
      </c>
      <c r="F31" s="99" t="s">
        <v>49</v>
      </c>
      <c r="G31" s="99" t="s">
        <v>50</v>
      </c>
      <c r="H31" s="99" t="s">
        <v>45</v>
      </c>
      <c r="I31" s="5"/>
      <c r="J31" s="5"/>
      <c r="K31" s="5"/>
      <c r="M31" s="127"/>
    </row>
    <row r="32" spans="1:13" ht="15.75" thickBot="1" x14ac:dyDescent="0.3">
      <c r="A32" s="141"/>
      <c r="B32" s="143"/>
      <c r="C32" s="100"/>
      <c r="D32" s="100"/>
      <c r="E32" s="100"/>
      <c r="F32" s="100"/>
      <c r="G32" s="100"/>
      <c r="H32" s="100"/>
      <c r="I32" s="5"/>
      <c r="J32" s="5"/>
      <c r="K32" s="5"/>
      <c r="M32" s="128"/>
    </row>
    <row r="33" spans="1:13" ht="33.75" thickBot="1" x14ac:dyDescent="0.3">
      <c r="A33" s="6" t="s">
        <v>32</v>
      </c>
      <c r="B33" s="77"/>
      <c r="C33" s="62" t="s">
        <v>38</v>
      </c>
      <c r="D33" s="65" t="s">
        <v>38</v>
      </c>
      <c r="E33" s="62" t="s">
        <v>38</v>
      </c>
      <c r="F33" s="65" t="s">
        <v>38</v>
      </c>
      <c r="G33" s="62" t="s">
        <v>38</v>
      </c>
      <c r="H33" s="73" t="s">
        <v>38</v>
      </c>
      <c r="I33" s="5"/>
      <c r="J33" s="5"/>
      <c r="K33" s="5"/>
      <c r="M33" s="76" t="s">
        <v>57</v>
      </c>
    </row>
    <row r="34" spans="1:13" ht="15.75" thickBot="1" x14ac:dyDescent="0.3">
      <c r="A34" s="132" t="s">
        <v>51</v>
      </c>
      <c r="B34" s="22" t="s">
        <v>4</v>
      </c>
      <c r="C34" s="23">
        <f>308.13+8.85-285.27</f>
        <v>31.710000000000036</v>
      </c>
      <c r="D34" s="23">
        <v>170.9</v>
      </c>
      <c r="E34" s="23">
        <v>78.959999999999994</v>
      </c>
      <c r="F34" s="23">
        <v>0</v>
      </c>
      <c r="G34" s="23">
        <v>0</v>
      </c>
      <c r="H34" s="24">
        <f>33.6+8.5+9.75</f>
        <v>51.85</v>
      </c>
      <c r="I34" s="5"/>
      <c r="J34" s="5"/>
      <c r="K34" s="5"/>
      <c r="M34" s="12">
        <f>SUM(C34:H34)</f>
        <v>333.42000000000007</v>
      </c>
    </row>
    <row r="35" spans="1:13" ht="15.75" thickBot="1" x14ac:dyDescent="0.3">
      <c r="A35" s="133"/>
      <c r="B35" s="25" t="s">
        <v>5</v>
      </c>
      <c r="C35" s="9">
        <f>25.8+4.13</f>
        <v>29.93</v>
      </c>
      <c r="D35" s="9">
        <f>39.98</f>
        <v>39.979999999999997</v>
      </c>
      <c r="E35" s="9">
        <v>8.0399999999999991</v>
      </c>
      <c r="F35" s="9">
        <v>0</v>
      </c>
      <c r="G35" s="9">
        <v>0</v>
      </c>
      <c r="H35" s="26">
        <f>10.38</f>
        <v>10.38</v>
      </c>
      <c r="I35" s="5"/>
      <c r="J35" s="5"/>
      <c r="K35" s="5"/>
      <c r="M35" s="12">
        <f t="shared" ref="M35:M56" si="4">SUM(C35:H35)</f>
        <v>88.329999999999984</v>
      </c>
    </row>
    <row r="36" spans="1:13" ht="15.75" thickBot="1" x14ac:dyDescent="0.3">
      <c r="A36" s="144"/>
      <c r="B36" s="25" t="s">
        <v>6</v>
      </c>
      <c r="C36" s="10">
        <v>0</v>
      </c>
      <c r="D36" s="9">
        <v>43.99</v>
      </c>
      <c r="E36" s="9">
        <v>22.4</v>
      </c>
      <c r="F36" s="9">
        <v>0</v>
      </c>
      <c r="G36" s="9">
        <v>0</v>
      </c>
      <c r="H36" s="26">
        <v>7.5</v>
      </c>
      <c r="I36" s="5"/>
      <c r="J36" s="5"/>
      <c r="K36" s="5"/>
      <c r="M36" s="12">
        <f t="shared" si="4"/>
        <v>73.89</v>
      </c>
    </row>
    <row r="37" spans="1:13" ht="15.75" thickBot="1" x14ac:dyDescent="0.3">
      <c r="A37" s="134"/>
      <c r="B37" s="27" t="s">
        <v>54</v>
      </c>
      <c r="C37" s="28">
        <v>0</v>
      </c>
      <c r="D37" s="29">
        <v>0</v>
      </c>
      <c r="E37" s="29">
        <v>0</v>
      </c>
      <c r="F37" s="29">
        <v>981.6</v>
      </c>
      <c r="G37" s="29">
        <v>0</v>
      </c>
      <c r="H37" s="30">
        <v>0</v>
      </c>
      <c r="I37" s="5"/>
      <c r="J37" s="5"/>
      <c r="K37" s="5"/>
      <c r="M37" s="12">
        <f t="shared" si="4"/>
        <v>981.6</v>
      </c>
    </row>
    <row r="38" spans="1:13" ht="15.75" thickBot="1" x14ac:dyDescent="0.3">
      <c r="A38" s="129" t="s">
        <v>53</v>
      </c>
      <c r="B38" s="20" t="s">
        <v>7</v>
      </c>
      <c r="C38" s="21">
        <f>20.5+7.23</f>
        <v>27.73</v>
      </c>
      <c r="D38" s="21">
        <v>39.18</v>
      </c>
      <c r="E38" s="21">
        <v>61.47</v>
      </c>
      <c r="F38" s="21">
        <v>0</v>
      </c>
      <c r="G38" s="21">
        <v>0</v>
      </c>
      <c r="H38" s="74">
        <v>13.77</v>
      </c>
      <c r="I38" s="5"/>
      <c r="J38" s="5"/>
      <c r="K38" s="5"/>
      <c r="M38" s="12">
        <f t="shared" si="4"/>
        <v>142.15</v>
      </c>
    </row>
    <row r="39" spans="1:13" ht="15.75" thickBot="1" x14ac:dyDescent="0.3">
      <c r="A39" s="130"/>
      <c r="B39" s="17" t="s">
        <v>8</v>
      </c>
      <c r="C39" s="9">
        <f>6.18+13.01</f>
        <v>19.189999999999998</v>
      </c>
      <c r="D39" s="9">
        <v>38.86</v>
      </c>
      <c r="E39" s="9">
        <v>19.600000000000001</v>
      </c>
      <c r="F39" s="9">
        <v>0</v>
      </c>
      <c r="G39" s="9">
        <v>0</v>
      </c>
      <c r="H39" s="26">
        <v>8.9</v>
      </c>
      <c r="I39" s="5"/>
      <c r="J39" s="5"/>
      <c r="K39" s="5"/>
      <c r="M39" s="12">
        <f t="shared" si="4"/>
        <v>86.550000000000011</v>
      </c>
    </row>
    <row r="40" spans="1:13" ht="15.75" thickBot="1" x14ac:dyDescent="0.3">
      <c r="A40" s="130"/>
      <c r="B40" s="17" t="s">
        <v>9</v>
      </c>
      <c r="C40" s="9">
        <v>6.46</v>
      </c>
      <c r="D40" s="9">
        <f>23.63+15.06</f>
        <v>38.69</v>
      </c>
      <c r="E40" s="9">
        <v>18.46</v>
      </c>
      <c r="F40" s="8">
        <f>40.88+43.14</f>
        <v>84.02000000000001</v>
      </c>
      <c r="G40" s="9">
        <v>0</v>
      </c>
      <c r="H40" s="26">
        <v>10.77</v>
      </c>
      <c r="I40" s="5"/>
      <c r="J40" s="5"/>
      <c r="K40" s="5"/>
      <c r="M40" s="12">
        <f t="shared" si="4"/>
        <v>158.4</v>
      </c>
    </row>
    <row r="41" spans="1:13" ht="15.75" thickBot="1" x14ac:dyDescent="0.3">
      <c r="A41" s="130"/>
      <c r="B41" s="17" t="s">
        <v>10</v>
      </c>
      <c r="C41" s="9">
        <f>3</f>
        <v>3</v>
      </c>
      <c r="D41" s="9">
        <f>21.4</f>
        <v>21.4</v>
      </c>
      <c r="E41" s="9">
        <v>45.72</v>
      </c>
      <c r="F41" s="9">
        <v>0</v>
      </c>
      <c r="G41" s="9">
        <v>6.48</v>
      </c>
      <c r="H41" s="26">
        <v>8.8000000000000007</v>
      </c>
      <c r="I41" s="5"/>
      <c r="J41" s="5"/>
      <c r="K41" s="5"/>
      <c r="M41" s="12">
        <f t="shared" si="4"/>
        <v>85.4</v>
      </c>
    </row>
    <row r="42" spans="1:13" ht="15.75" thickBot="1" x14ac:dyDescent="0.3">
      <c r="A42" s="130"/>
      <c r="B42" s="17" t="s">
        <v>11</v>
      </c>
      <c r="C42" s="9">
        <v>16.95</v>
      </c>
      <c r="D42" s="9">
        <v>27.7</v>
      </c>
      <c r="E42" s="9">
        <v>8.6</v>
      </c>
      <c r="F42" s="9">
        <v>0</v>
      </c>
      <c r="G42" s="9">
        <v>0</v>
      </c>
      <c r="H42" s="26">
        <v>8.1999999999999993</v>
      </c>
      <c r="I42" s="5"/>
      <c r="J42" s="5"/>
      <c r="K42" s="5"/>
      <c r="M42" s="12">
        <f t="shared" si="4"/>
        <v>61.45</v>
      </c>
    </row>
    <row r="43" spans="1:13" ht="15.75" thickBot="1" x14ac:dyDescent="0.3">
      <c r="A43" s="130"/>
      <c r="B43" s="17" t="s">
        <v>12</v>
      </c>
      <c r="C43" s="9">
        <f>20.25+25.55</f>
        <v>45.8</v>
      </c>
      <c r="D43" s="9">
        <v>56.83</v>
      </c>
      <c r="E43" s="9">
        <v>0</v>
      </c>
      <c r="F43" s="9">
        <v>0</v>
      </c>
      <c r="G43" s="9">
        <v>18.37</v>
      </c>
      <c r="H43" s="26">
        <v>11.1</v>
      </c>
      <c r="I43" s="5"/>
      <c r="J43" s="5"/>
      <c r="K43" s="5"/>
      <c r="M43" s="12">
        <f t="shared" si="4"/>
        <v>132.1</v>
      </c>
    </row>
    <row r="44" spans="1:13" ht="15.75" thickBot="1" x14ac:dyDescent="0.3">
      <c r="A44" s="130"/>
      <c r="B44" s="17" t="s">
        <v>13</v>
      </c>
      <c r="C44" s="9">
        <f>15.77+7.01</f>
        <v>22.78</v>
      </c>
      <c r="D44" s="9">
        <f>32.23</f>
        <v>32.229999999999997</v>
      </c>
      <c r="E44" s="9">
        <f>49.07</f>
        <v>49.07</v>
      </c>
      <c r="F44" s="9">
        <v>0</v>
      </c>
      <c r="G44" s="9">
        <v>0</v>
      </c>
      <c r="H44" s="26">
        <f>8.71</f>
        <v>8.7100000000000009</v>
      </c>
      <c r="I44" s="5"/>
      <c r="J44" s="5"/>
      <c r="K44" s="5"/>
      <c r="M44" s="12">
        <f t="shared" si="4"/>
        <v>112.78999999999999</v>
      </c>
    </row>
    <row r="45" spans="1:13" ht="15.75" thickBot="1" x14ac:dyDescent="0.3">
      <c r="A45" s="130"/>
      <c r="B45" s="17" t="s">
        <v>14</v>
      </c>
      <c r="C45" s="9">
        <v>20.8</v>
      </c>
      <c r="D45" s="9">
        <v>36.07</v>
      </c>
      <c r="E45" s="9">
        <v>20.8</v>
      </c>
      <c r="F45" s="9">
        <v>0</v>
      </c>
      <c r="G45" s="9">
        <v>0</v>
      </c>
      <c r="H45" s="26">
        <v>17.100000000000001</v>
      </c>
      <c r="I45" s="5"/>
      <c r="J45" s="5"/>
      <c r="K45" s="5"/>
      <c r="M45" s="12">
        <f t="shared" si="4"/>
        <v>94.77000000000001</v>
      </c>
    </row>
    <row r="46" spans="1:13" ht="15.75" thickBot="1" x14ac:dyDescent="0.3">
      <c r="A46" s="130"/>
      <c r="B46" s="17" t="s">
        <v>15</v>
      </c>
      <c r="C46" s="9">
        <f>16.1+5.52</f>
        <v>21.62</v>
      </c>
      <c r="D46" s="9">
        <v>65</v>
      </c>
      <c r="E46" s="11">
        <v>0</v>
      </c>
      <c r="F46" s="11">
        <v>0</v>
      </c>
      <c r="G46" s="11">
        <v>0</v>
      </c>
      <c r="H46" s="26">
        <v>13.3</v>
      </c>
      <c r="I46" s="5"/>
      <c r="J46" s="5"/>
      <c r="K46" s="5"/>
      <c r="M46" s="12">
        <f t="shared" si="4"/>
        <v>99.92</v>
      </c>
    </row>
    <row r="47" spans="1:13" ht="15.75" thickBot="1" x14ac:dyDescent="0.3">
      <c r="A47" s="130"/>
      <c r="B47" s="17" t="s">
        <v>16</v>
      </c>
      <c r="C47" s="9">
        <f>32.27+5.02</f>
        <v>37.290000000000006</v>
      </c>
      <c r="D47" s="9">
        <v>61.18</v>
      </c>
      <c r="E47" s="9">
        <f>20.19+12.77</f>
        <v>32.96</v>
      </c>
      <c r="F47" s="9">
        <v>0</v>
      </c>
      <c r="G47" s="9">
        <v>0</v>
      </c>
      <c r="H47" s="26">
        <v>13</v>
      </c>
      <c r="I47" s="5"/>
      <c r="J47" s="5"/>
      <c r="K47" s="5"/>
      <c r="M47" s="12">
        <f t="shared" si="4"/>
        <v>144.43</v>
      </c>
    </row>
    <row r="48" spans="1:13" ht="15.75" thickBot="1" x14ac:dyDescent="0.3">
      <c r="A48" s="130"/>
      <c r="B48" s="17" t="s">
        <v>17</v>
      </c>
      <c r="C48" s="9">
        <f>5.2</f>
        <v>5.2</v>
      </c>
      <c r="D48" s="9">
        <v>56</v>
      </c>
      <c r="E48" s="9">
        <v>9.9</v>
      </c>
      <c r="F48" s="9">
        <v>0</v>
      </c>
      <c r="G48" s="9">
        <v>0</v>
      </c>
      <c r="H48" s="26">
        <v>13.1</v>
      </c>
      <c r="I48" s="5"/>
      <c r="J48" s="5"/>
      <c r="K48" s="5"/>
      <c r="M48" s="12">
        <f t="shared" si="4"/>
        <v>84.2</v>
      </c>
    </row>
    <row r="49" spans="1:13" ht="15.75" thickBot="1" x14ac:dyDescent="0.3">
      <c r="A49" s="130"/>
      <c r="B49" s="17" t="s">
        <v>18</v>
      </c>
      <c r="C49" s="9">
        <v>19.8</v>
      </c>
      <c r="D49" s="9">
        <v>33.200000000000003</v>
      </c>
      <c r="E49" s="9">
        <v>5.5</v>
      </c>
      <c r="F49" s="9">
        <v>0</v>
      </c>
      <c r="G49" s="9">
        <v>0</v>
      </c>
      <c r="H49" s="26">
        <v>8.6</v>
      </c>
      <c r="I49" s="5"/>
      <c r="J49" s="5"/>
      <c r="K49" s="5"/>
      <c r="M49" s="12">
        <f t="shared" si="4"/>
        <v>67.099999999999994</v>
      </c>
    </row>
    <row r="50" spans="1:13" ht="15.75" thickBot="1" x14ac:dyDescent="0.3">
      <c r="A50" s="130"/>
      <c r="B50" s="17" t="s">
        <v>19</v>
      </c>
      <c r="C50" s="9">
        <v>2.8</v>
      </c>
      <c r="D50" s="9">
        <v>60.33</v>
      </c>
      <c r="E50" s="9">
        <v>0</v>
      </c>
      <c r="F50" s="9">
        <v>0</v>
      </c>
      <c r="G50" s="9">
        <v>0</v>
      </c>
      <c r="H50" s="26">
        <v>7.6</v>
      </c>
      <c r="I50" s="5"/>
      <c r="J50" s="5"/>
      <c r="K50" s="5"/>
      <c r="M50" s="12">
        <f t="shared" si="4"/>
        <v>70.72999999999999</v>
      </c>
    </row>
    <row r="51" spans="1:13" ht="15.75" thickBot="1" x14ac:dyDescent="0.3">
      <c r="A51" s="130"/>
      <c r="B51" s="17" t="s">
        <v>20</v>
      </c>
      <c r="C51" s="9">
        <f>5.8+3</f>
        <v>8.8000000000000007</v>
      </c>
      <c r="D51" s="9">
        <f>35.9</f>
        <v>35.9</v>
      </c>
      <c r="E51" s="9">
        <v>18.7</v>
      </c>
      <c r="F51" s="9">
        <v>0</v>
      </c>
      <c r="G51" s="9">
        <v>0</v>
      </c>
      <c r="H51" s="26">
        <v>10</v>
      </c>
      <c r="I51" s="5"/>
      <c r="J51" s="5"/>
      <c r="K51" s="5"/>
      <c r="M51" s="12">
        <f t="shared" si="4"/>
        <v>73.400000000000006</v>
      </c>
    </row>
    <row r="52" spans="1:13" ht="15.75" thickBot="1" x14ac:dyDescent="0.3">
      <c r="A52" s="130"/>
      <c r="B52" s="17" t="s">
        <v>21</v>
      </c>
      <c r="C52" s="9">
        <v>0</v>
      </c>
      <c r="D52" s="9">
        <v>20.7</v>
      </c>
      <c r="E52" s="9">
        <v>20.7</v>
      </c>
      <c r="F52" s="9">
        <v>0</v>
      </c>
      <c r="G52" s="9">
        <v>0</v>
      </c>
      <c r="H52" s="26">
        <v>9.9</v>
      </c>
      <c r="I52" s="5"/>
      <c r="J52" s="5"/>
      <c r="K52" s="5"/>
      <c r="M52" s="12">
        <f t="shared" si="4"/>
        <v>51.3</v>
      </c>
    </row>
    <row r="53" spans="1:13" ht="15.75" thickBot="1" x14ac:dyDescent="0.3">
      <c r="A53" s="130"/>
      <c r="B53" s="17" t="s">
        <v>22</v>
      </c>
      <c r="C53" s="9">
        <v>11.5</v>
      </c>
      <c r="D53" s="9">
        <v>16.8</v>
      </c>
      <c r="E53" s="9">
        <v>11</v>
      </c>
      <c r="F53" s="9">
        <v>0</v>
      </c>
      <c r="G53" s="9">
        <v>0</v>
      </c>
      <c r="H53" s="26">
        <v>7.8</v>
      </c>
      <c r="I53" s="5"/>
      <c r="J53" s="5"/>
      <c r="K53" s="5"/>
      <c r="M53" s="12">
        <f t="shared" si="4"/>
        <v>47.099999999999994</v>
      </c>
    </row>
    <row r="54" spans="1:13" ht="15.75" thickBot="1" x14ac:dyDescent="0.3">
      <c r="A54" s="130"/>
      <c r="B54" s="17" t="s">
        <v>23</v>
      </c>
      <c r="C54" s="9">
        <f>70.5+7.8+24.6</f>
        <v>102.9</v>
      </c>
      <c r="D54" s="9">
        <f>60.53</f>
        <v>60.53</v>
      </c>
      <c r="E54" s="9">
        <f>8.1</f>
        <v>8.1</v>
      </c>
      <c r="F54" s="9">
        <v>0</v>
      </c>
      <c r="G54" s="9">
        <v>21.2</v>
      </c>
      <c r="H54" s="26">
        <v>8.1</v>
      </c>
      <c r="I54" s="5"/>
      <c r="J54" s="5"/>
      <c r="K54" s="5"/>
      <c r="M54" s="12">
        <f t="shared" si="4"/>
        <v>200.82999999999998</v>
      </c>
    </row>
    <row r="55" spans="1:13" ht="15.75" thickBot="1" x14ac:dyDescent="0.3">
      <c r="A55" s="130"/>
      <c r="B55" s="17" t="s">
        <v>24</v>
      </c>
      <c r="C55" s="9">
        <f>34.96+5.8+3</f>
        <v>43.76</v>
      </c>
      <c r="D55" s="9">
        <v>16.920000000000002</v>
      </c>
      <c r="E55" s="9">
        <v>10.5</v>
      </c>
      <c r="F55" s="9">
        <v>0</v>
      </c>
      <c r="G55" s="9">
        <v>0</v>
      </c>
      <c r="H55" s="26">
        <v>11.1</v>
      </c>
      <c r="I55" s="5"/>
      <c r="J55" s="5"/>
      <c r="K55" s="5"/>
      <c r="M55" s="12">
        <f t="shared" si="4"/>
        <v>82.28</v>
      </c>
    </row>
    <row r="56" spans="1:13" ht="15.75" thickBot="1" x14ac:dyDescent="0.3">
      <c r="A56" s="131"/>
      <c r="B56" s="51" t="s">
        <v>25</v>
      </c>
      <c r="C56" s="57">
        <f>14.83+34.45</f>
        <v>49.28</v>
      </c>
      <c r="D56" s="57">
        <v>49.19</v>
      </c>
      <c r="E56" s="57">
        <v>19.37</v>
      </c>
      <c r="F56" s="57">
        <v>0</v>
      </c>
      <c r="G56" s="57">
        <v>0</v>
      </c>
      <c r="H56" s="75">
        <v>9.06</v>
      </c>
      <c r="I56" s="5"/>
      <c r="J56" s="5"/>
      <c r="K56" s="5"/>
      <c r="M56" s="54">
        <f t="shared" si="4"/>
        <v>126.9</v>
      </c>
    </row>
    <row r="57" spans="1:13" ht="15.75" thickBot="1" x14ac:dyDescent="0.3">
      <c r="A57" s="7" t="s">
        <v>27</v>
      </c>
      <c r="B57" s="58"/>
      <c r="C57" s="59">
        <f t="shared" ref="C57:H57" si="5">SUM(C34:C56)</f>
        <v>527.30000000000007</v>
      </c>
      <c r="D57" s="60">
        <f t="shared" si="5"/>
        <v>1021.5799999999999</v>
      </c>
      <c r="E57" s="59">
        <f t="shared" si="5"/>
        <v>469.84999999999997</v>
      </c>
      <c r="F57" s="60">
        <f t="shared" si="5"/>
        <v>1065.6200000000001</v>
      </c>
      <c r="G57" s="59">
        <f t="shared" si="5"/>
        <v>46.05</v>
      </c>
      <c r="H57" s="61">
        <f t="shared" si="5"/>
        <v>268.64000000000004</v>
      </c>
      <c r="I57" s="5"/>
      <c r="J57" s="5"/>
      <c r="K57" s="5"/>
      <c r="M57" s="56">
        <f>SUM(M34:M56)</f>
        <v>3399.0400000000004</v>
      </c>
    </row>
    <row r="58" spans="1:13" x14ac:dyDescent="0.25">
      <c r="H58" s="5"/>
      <c r="I58" s="5"/>
      <c r="J58" s="5"/>
      <c r="K58" s="5"/>
    </row>
    <row r="59" spans="1:13" ht="15" customHeight="1" thickBot="1" x14ac:dyDescent="0.3">
      <c r="J59" s="1"/>
      <c r="K59" s="1"/>
    </row>
    <row r="60" spans="1:13" ht="15" customHeight="1" thickBot="1" x14ac:dyDescent="0.3">
      <c r="A60" s="115" t="s">
        <v>0</v>
      </c>
      <c r="B60" s="106"/>
      <c r="C60" s="103" t="s">
        <v>31</v>
      </c>
      <c r="D60" s="104"/>
      <c r="E60" s="104"/>
      <c r="F60" s="105"/>
      <c r="I60" s="18"/>
      <c r="J60" s="19"/>
      <c r="K60" s="19"/>
    </row>
    <row r="61" spans="1:13" ht="15" customHeight="1" x14ac:dyDescent="0.25">
      <c r="A61" s="116"/>
      <c r="B61" s="107"/>
      <c r="C61" s="99" t="s">
        <v>40</v>
      </c>
      <c r="D61" s="99" t="s">
        <v>28</v>
      </c>
      <c r="E61" s="99" t="s">
        <v>36</v>
      </c>
      <c r="F61" s="101" t="s">
        <v>41</v>
      </c>
    </row>
    <row r="62" spans="1:13" ht="15" customHeight="1" thickBot="1" x14ac:dyDescent="0.3">
      <c r="A62" s="117"/>
      <c r="B62" s="108"/>
      <c r="C62" s="100"/>
      <c r="D62" s="100"/>
      <c r="E62" s="100"/>
      <c r="F62" s="102"/>
    </row>
    <row r="63" spans="1:13" ht="15.75" thickBot="1" x14ac:dyDescent="0.3">
      <c r="A63" s="6" t="s">
        <v>32</v>
      </c>
      <c r="B63" s="13" t="s">
        <v>1</v>
      </c>
      <c r="C63" s="48" t="s">
        <v>42</v>
      </c>
      <c r="D63" s="49" t="s">
        <v>42</v>
      </c>
      <c r="E63" s="49" t="s">
        <v>42</v>
      </c>
      <c r="F63" s="50" t="s">
        <v>42</v>
      </c>
    </row>
    <row r="64" spans="1:13" ht="21" customHeight="1" x14ac:dyDescent="0.25">
      <c r="A64" s="109" t="s">
        <v>51</v>
      </c>
      <c r="B64" s="15" t="s">
        <v>4</v>
      </c>
      <c r="C64" s="37">
        <v>24</v>
      </c>
      <c r="D64" s="38">
        <v>6</v>
      </c>
      <c r="E64" s="38">
        <v>6</v>
      </c>
      <c r="F64" s="66">
        <v>350</v>
      </c>
    </row>
    <row r="65" spans="1:6" x14ac:dyDescent="0.25">
      <c r="A65" s="110"/>
      <c r="B65" s="16" t="s">
        <v>5</v>
      </c>
      <c r="C65" s="14">
        <v>5</v>
      </c>
      <c r="D65" s="3">
        <v>1</v>
      </c>
      <c r="E65" s="3">
        <v>2</v>
      </c>
      <c r="F65" s="67">
        <v>57</v>
      </c>
    </row>
    <row r="66" spans="1:6" ht="15.75" thickBot="1" x14ac:dyDescent="0.3">
      <c r="A66" s="111"/>
      <c r="B66" s="39" t="s">
        <v>6</v>
      </c>
      <c r="C66" s="40">
        <v>4</v>
      </c>
      <c r="D66" s="41">
        <v>1</v>
      </c>
      <c r="E66" s="41">
        <v>1</v>
      </c>
      <c r="F66" s="68">
        <v>72</v>
      </c>
    </row>
    <row r="67" spans="1:6" x14ac:dyDescent="0.25">
      <c r="A67" s="112" t="s">
        <v>52</v>
      </c>
      <c r="B67" s="15" t="s">
        <v>7</v>
      </c>
      <c r="C67" s="37">
        <v>5</v>
      </c>
      <c r="D67" s="38">
        <v>2</v>
      </c>
      <c r="E67" s="38">
        <v>3</v>
      </c>
      <c r="F67" s="69">
        <v>75</v>
      </c>
    </row>
    <row r="68" spans="1:6" x14ac:dyDescent="0.25">
      <c r="A68" s="113"/>
      <c r="B68" s="16" t="s">
        <v>8</v>
      </c>
      <c r="C68" s="14">
        <v>5</v>
      </c>
      <c r="D68" s="3">
        <v>1</v>
      </c>
      <c r="E68" s="3">
        <v>2</v>
      </c>
      <c r="F68" s="70">
        <v>58</v>
      </c>
    </row>
    <row r="69" spans="1:6" x14ac:dyDescent="0.25">
      <c r="A69" s="113"/>
      <c r="B69" s="16" t="s">
        <v>9</v>
      </c>
      <c r="C69" s="14">
        <v>3</v>
      </c>
      <c r="D69" s="3">
        <v>2</v>
      </c>
      <c r="E69" s="3">
        <v>1</v>
      </c>
      <c r="F69" s="71">
        <v>53</v>
      </c>
    </row>
    <row r="70" spans="1:6" x14ac:dyDescent="0.25">
      <c r="A70" s="113"/>
      <c r="B70" s="16" t="s">
        <v>10</v>
      </c>
      <c r="C70" s="14">
        <v>4</v>
      </c>
      <c r="D70" s="3">
        <v>1</v>
      </c>
      <c r="E70" s="3">
        <v>1</v>
      </c>
      <c r="F70" s="70">
        <v>40</v>
      </c>
    </row>
    <row r="71" spans="1:6" x14ac:dyDescent="0.25">
      <c r="A71" s="113"/>
      <c r="B71" s="16" t="s">
        <v>11</v>
      </c>
      <c r="C71" s="14">
        <v>3</v>
      </c>
      <c r="D71" s="3">
        <v>2</v>
      </c>
      <c r="E71" s="3">
        <v>1</v>
      </c>
      <c r="F71" s="71">
        <v>42</v>
      </c>
    </row>
    <row r="72" spans="1:6" x14ac:dyDescent="0.25">
      <c r="A72" s="113"/>
      <c r="B72" s="16" t="s">
        <v>12</v>
      </c>
      <c r="C72" s="14">
        <v>5</v>
      </c>
      <c r="D72" s="3">
        <v>1</v>
      </c>
      <c r="E72" s="3">
        <v>1</v>
      </c>
      <c r="F72" s="70">
        <v>46</v>
      </c>
    </row>
    <row r="73" spans="1:6" x14ac:dyDescent="0.25">
      <c r="A73" s="113"/>
      <c r="B73" s="16" t="s">
        <v>13</v>
      </c>
      <c r="C73" s="14">
        <v>5</v>
      </c>
      <c r="D73" s="3">
        <v>1</v>
      </c>
      <c r="E73" s="3">
        <v>2</v>
      </c>
      <c r="F73" s="71">
        <v>57</v>
      </c>
    </row>
    <row r="74" spans="1:6" x14ac:dyDescent="0.25">
      <c r="A74" s="113"/>
      <c r="B74" s="16" t="s">
        <v>14</v>
      </c>
      <c r="C74" s="14">
        <v>4</v>
      </c>
      <c r="D74" s="3">
        <v>1</v>
      </c>
      <c r="E74" s="3">
        <v>1</v>
      </c>
      <c r="F74" s="70">
        <v>52</v>
      </c>
    </row>
    <row r="75" spans="1:6" x14ac:dyDescent="0.25">
      <c r="A75" s="113"/>
      <c r="B75" s="16" t="s">
        <v>15</v>
      </c>
      <c r="C75" s="14">
        <v>2</v>
      </c>
      <c r="D75" s="3">
        <v>1</v>
      </c>
      <c r="E75" s="3">
        <v>1</v>
      </c>
      <c r="F75" s="71">
        <v>32</v>
      </c>
    </row>
    <row r="76" spans="1:6" x14ac:dyDescent="0.25">
      <c r="A76" s="113"/>
      <c r="B76" s="16" t="s">
        <v>16</v>
      </c>
      <c r="C76" s="14">
        <v>12</v>
      </c>
      <c r="D76" s="3">
        <v>3</v>
      </c>
      <c r="E76" s="3">
        <v>2</v>
      </c>
      <c r="F76" s="71">
        <v>65</v>
      </c>
    </row>
    <row r="77" spans="1:6" x14ac:dyDescent="0.25">
      <c r="A77" s="113"/>
      <c r="B77" s="16" t="s">
        <v>17</v>
      </c>
      <c r="C77" s="14">
        <v>3</v>
      </c>
      <c r="D77" s="3">
        <v>1</v>
      </c>
      <c r="E77" s="3">
        <v>1</v>
      </c>
      <c r="F77" s="70">
        <v>35</v>
      </c>
    </row>
    <row r="78" spans="1:6" x14ac:dyDescent="0.25">
      <c r="A78" s="113"/>
      <c r="B78" s="16" t="s">
        <v>18</v>
      </c>
      <c r="C78" s="14">
        <v>2</v>
      </c>
      <c r="D78" s="3">
        <v>1</v>
      </c>
      <c r="E78" s="3">
        <v>1</v>
      </c>
      <c r="F78" s="71">
        <v>42</v>
      </c>
    </row>
    <row r="79" spans="1:6" x14ac:dyDescent="0.25">
      <c r="A79" s="113"/>
      <c r="B79" s="16" t="s">
        <v>19</v>
      </c>
      <c r="C79" s="14">
        <v>2</v>
      </c>
      <c r="D79" s="3">
        <v>2</v>
      </c>
      <c r="E79" s="3">
        <v>1</v>
      </c>
      <c r="F79" s="70">
        <v>46</v>
      </c>
    </row>
    <row r="80" spans="1:6" x14ac:dyDescent="0.25">
      <c r="A80" s="113"/>
      <c r="B80" s="16" t="s">
        <v>20</v>
      </c>
      <c r="C80" s="14">
        <v>5</v>
      </c>
      <c r="D80" s="3">
        <v>1</v>
      </c>
      <c r="E80" s="3">
        <v>1</v>
      </c>
      <c r="F80" s="71">
        <v>43</v>
      </c>
    </row>
    <row r="81" spans="1:6" x14ac:dyDescent="0.25">
      <c r="A81" s="113"/>
      <c r="B81" s="16" t="s">
        <v>21</v>
      </c>
      <c r="C81" s="14">
        <v>2</v>
      </c>
      <c r="D81" s="3">
        <v>1</v>
      </c>
      <c r="E81" s="3">
        <v>1</v>
      </c>
      <c r="F81" s="70">
        <v>39</v>
      </c>
    </row>
    <row r="82" spans="1:6" x14ac:dyDescent="0.25">
      <c r="A82" s="113"/>
      <c r="B82" s="16" t="s">
        <v>22</v>
      </c>
      <c r="C82" s="14">
        <v>2</v>
      </c>
      <c r="D82" s="3">
        <v>1</v>
      </c>
      <c r="E82" s="3">
        <v>1</v>
      </c>
      <c r="F82" s="71">
        <v>25</v>
      </c>
    </row>
    <row r="83" spans="1:6" x14ac:dyDescent="0.25">
      <c r="A83" s="113"/>
      <c r="B83" s="16" t="s">
        <v>23</v>
      </c>
      <c r="C83" s="14">
        <v>9</v>
      </c>
      <c r="D83" s="3">
        <v>2</v>
      </c>
      <c r="E83" s="3">
        <v>1</v>
      </c>
      <c r="F83" s="70">
        <v>55</v>
      </c>
    </row>
    <row r="84" spans="1:6" x14ac:dyDescent="0.25">
      <c r="A84" s="113"/>
      <c r="B84" s="16" t="s">
        <v>24</v>
      </c>
      <c r="C84" s="14">
        <v>3</v>
      </c>
      <c r="D84" s="3">
        <v>2</v>
      </c>
      <c r="E84" s="3">
        <v>1</v>
      </c>
      <c r="F84" s="71">
        <v>38</v>
      </c>
    </row>
    <row r="85" spans="1:6" ht="15.75" thickBot="1" x14ac:dyDescent="0.3">
      <c r="A85" s="114"/>
      <c r="B85" s="42" t="s">
        <v>25</v>
      </c>
      <c r="C85" s="43">
        <v>8</v>
      </c>
      <c r="D85" s="44">
        <v>1</v>
      </c>
      <c r="E85" s="44">
        <v>1</v>
      </c>
      <c r="F85" s="72">
        <v>63</v>
      </c>
    </row>
    <row r="86" spans="1:6" ht="15.75" thickBot="1" x14ac:dyDescent="0.3">
      <c r="A86" s="7" t="s">
        <v>27</v>
      </c>
      <c r="B86" s="7"/>
      <c r="C86" s="45">
        <f>SUM(C64:C85)</f>
        <v>117</v>
      </c>
      <c r="D86" s="46">
        <f>SUM(D64:D85)</f>
        <v>35</v>
      </c>
      <c r="E86" s="45">
        <f>SUM(E64:E85)</f>
        <v>33</v>
      </c>
      <c r="F86" s="47">
        <f>SUM(F64:F85)</f>
        <v>1385</v>
      </c>
    </row>
  </sheetData>
  <sheetProtection algorithmName="SHA-512" hashValue="Y4evnNO/LmD2paXCkEpiLeFQNkraRDFoaG1oFEY7tAhS/LpjeCVucuQPjE+06Hgqqaw19OvPgj6ZR4oRr/F5UQ==" saltValue="xt7x7opdc7mNN7iEhCZa6A==" spinCount="100000" sheet="1" objects="1" scenarios="1"/>
  <mergeCells count="32">
    <mergeCell ref="A2:K2"/>
    <mergeCell ref="I3:K4"/>
    <mergeCell ref="M2:M4"/>
    <mergeCell ref="M30:M32"/>
    <mergeCell ref="A38:A56"/>
    <mergeCell ref="A6:A8"/>
    <mergeCell ref="A9:A27"/>
    <mergeCell ref="A3:A4"/>
    <mergeCell ref="G3:G4"/>
    <mergeCell ref="A30:H30"/>
    <mergeCell ref="A31:A32"/>
    <mergeCell ref="B31:B32"/>
    <mergeCell ref="A34:A37"/>
    <mergeCell ref="H3:H4"/>
    <mergeCell ref="B3:B4"/>
    <mergeCell ref="C3:E4"/>
    <mergeCell ref="B60:B62"/>
    <mergeCell ref="A64:A66"/>
    <mergeCell ref="A67:A85"/>
    <mergeCell ref="A60:A62"/>
    <mergeCell ref="H31:H32"/>
    <mergeCell ref="G31:G32"/>
    <mergeCell ref="C31:C32"/>
    <mergeCell ref="D31:D32"/>
    <mergeCell ref="E31:E32"/>
    <mergeCell ref="F31:F32"/>
    <mergeCell ref="F3:F4"/>
    <mergeCell ref="E61:E62"/>
    <mergeCell ref="C61:C62"/>
    <mergeCell ref="D61:D62"/>
    <mergeCell ref="F61:F62"/>
    <mergeCell ref="C60:F60"/>
  </mergeCells>
  <pageMargins left="0.31496062992125984" right="0.31496062992125984" top="0.74803149606299213" bottom="0.74803149606299213" header="0.31496062992125984" footer="0.31496062992125984"/>
  <pageSetup paperSize="8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Kleszowski Kamil</dc:creator>
  <cp:lastModifiedBy>Partyka Agnieszka</cp:lastModifiedBy>
  <cp:lastPrinted>2022-05-09T12:52:53Z</cp:lastPrinted>
  <dcterms:created xsi:type="dcterms:W3CDTF">2015-06-05T18:19:34Z</dcterms:created>
  <dcterms:modified xsi:type="dcterms:W3CDTF">2022-05-23T08:26:22Z</dcterms:modified>
</cp:coreProperties>
</file>