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A\GZ Józefów\gaz #3 przetarg\"/>
    </mc:Choice>
  </mc:AlternateContent>
  <xr:revisionPtr revIDLastSave="0" documentId="13_ncr:1_{9D234108-800D-4353-AA07-334AE9E33E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Arkusz1!$A$4:$AB$30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" l="1"/>
  <c r="V24" i="1"/>
  <c r="V23" i="1"/>
  <c r="V22" i="1"/>
  <c r="V20" i="1"/>
  <c r="V18" i="1"/>
  <c r="V17" i="1"/>
  <c r="V16" i="1"/>
  <c r="T15" i="1"/>
  <c r="V14" i="1"/>
  <c r="T14" i="1"/>
  <c r="V13" i="1"/>
  <c r="V12" i="1"/>
  <c r="V10" i="1"/>
  <c r="T10" i="1"/>
  <c r="V9" i="1"/>
  <c r="V7" i="1"/>
  <c r="V6" i="1"/>
  <c r="V5" i="1"/>
  <c r="V25" i="1"/>
  <c r="V19" i="1"/>
  <c r="V15" i="1"/>
  <c r="V11" i="1"/>
  <c r="V8" i="1"/>
  <c r="N5" i="1"/>
  <c r="P5" i="1"/>
  <c r="Z5" i="1"/>
  <c r="Z15" i="1"/>
  <c r="P15" i="1"/>
  <c r="N15" i="1"/>
  <c r="Z14" i="1"/>
  <c r="P14" i="1"/>
  <c r="N14" i="1"/>
  <c r="Z13" i="1"/>
  <c r="P13" i="1"/>
  <c r="N13" i="1"/>
  <c r="Z12" i="1"/>
  <c r="P12" i="1"/>
  <c r="N12" i="1"/>
  <c r="Z11" i="1"/>
  <c r="P11" i="1"/>
  <c r="N11" i="1"/>
  <c r="Z10" i="1"/>
  <c r="P10" i="1"/>
  <c r="N10" i="1"/>
  <c r="V28" i="1"/>
  <c r="V21" i="1"/>
  <c r="Z28" i="1"/>
  <c r="Z25" i="1"/>
  <c r="Z24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Z29" i="1"/>
  <c r="V29" i="1"/>
  <c r="Z27" i="1"/>
  <c r="Z26" i="1"/>
  <c r="V26" i="1"/>
  <c r="Z23" i="1"/>
  <c r="Z22" i="1"/>
  <c r="Z21" i="1"/>
  <c r="Z20" i="1"/>
  <c r="P20" i="1"/>
  <c r="N20" i="1"/>
  <c r="Z19" i="1"/>
  <c r="P19" i="1"/>
  <c r="N19" i="1"/>
  <c r="Z18" i="1"/>
  <c r="P18" i="1"/>
  <c r="N18" i="1"/>
  <c r="Z17" i="1"/>
  <c r="P17" i="1"/>
  <c r="N17" i="1"/>
  <c r="Z16" i="1"/>
  <c r="P16" i="1"/>
  <c r="N16" i="1"/>
  <c r="Z9" i="1"/>
  <c r="P9" i="1"/>
  <c r="N9" i="1"/>
  <c r="Z8" i="1"/>
  <c r="P8" i="1"/>
  <c r="N8" i="1"/>
  <c r="Z7" i="1"/>
  <c r="P7" i="1"/>
  <c r="N7" i="1"/>
  <c r="Z6" i="1"/>
  <c r="P6" i="1"/>
  <c r="N6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T5" i="1" l="1"/>
  <c r="W5" i="1" s="1"/>
  <c r="T13" i="1"/>
  <c r="W13" i="1" s="1"/>
  <c r="T11" i="1"/>
  <c r="W11" i="1" s="1"/>
  <c r="T22" i="1"/>
  <c r="W22" i="1" s="1"/>
  <c r="T24" i="1"/>
  <c r="W24" i="1" s="1"/>
  <c r="T28" i="1"/>
  <c r="W28" i="1" s="1"/>
  <c r="R5" i="1"/>
  <c r="T12" i="1"/>
  <c r="W12" i="1" s="1"/>
  <c r="R15" i="1"/>
  <c r="R13" i="1"/>
  <c r="R14" i="1"/>
  <c r="R10" i="1"/>
  <c r="R11" i="1"/>
  <c r="R12" i="1"/>
  <c r="W15" i="1"/>
  <c r="W10" i="1"/>
  <c r="W14" i="1"/>
  <c r="R24" i="1"/>
  <c r="R28" i="1"/>
  <c r="T6" i="1"/>
  <c r="W6" i="1" s="1"/>
  <c r="T25" i="1"/>
  <c r="W25" i="1" s="1"/>
  <c r="T19" i="1"/>
  <c r="W19" i="1" s="1"/>
  <c r="T29" i="1"/>
  <c r="W29" i="1" s="1"/>
  <c r="R25" i="1"/>
  <c r="T8" i="1"/>
  <c r="W8" i="1" s="1"/>
  <c r="T21" i="1"/>
  <c r="W21" i="1" s="1"/>
  <c r="T23" i="1"/>
  <c r="W23" i="1" s="1"/>
  <c r="T9" i="1"/>
  <c r="W9" i="1" s="1"/>
  <c r="T18" i="1"/>
  <c r="W18" i="1" s="1"/>
  <c r="T17" i="1"/>
  <c r="W17" i="1" s="1"/>
  <c r="R16" i="1"/>
  <c r="R23" i="1"/>
  <c r="T27" i="1"/>
  <c r="W27" i="1" s="1"/>
  <c r="T7" i="1"/>
  <c r="W7" i="1" s="1"/>
  <c r="T26" i="1"/>
  <c r="W26" i="1" s="1"/>
  <c r="T16" i="1"/>
  <c r="W16" i="1" s="1"/>
  <c r="T20" i="1"/>
  <c r="W20" i="1" s="1"/>
  <c r="R7" i="1"/>
  <c r="R8" i="1"/>
  <c r="R20" i="1"/>
  <c r="I30" i="1"/>
  <c r="R6" i="1"/>
  <c r="R21" i="1"/>
  <c r="R9" i="1"/>
  <c r="R17" i="1"/>
  <c r="R22" i="1"/>
  <c r="R26" i="1"/>
  <c r="R18" i="1"/>
  <c r="R27" i="1"/>
  <c r="R19" i="1"/>
  <c r="R29" i="1"/>
  <c r="X11" i="1" l="1"/>
  <c r="Y11" i="1" s="1"/>
  <c r="X5" i="1"/>
  <c r="Y5" i="1" s="1"/>
  <c r="X15" i="1"/>
  <c r="Y15" i="1" s="1"/>
  <c r="X13" i="1"/>
  <c r="Y13" i="1" s="1"/>
  <c r="X12" i="1"/>
  <c r="Y12" i="1" s="1"/>
  <c r="X14" i="1"/>
  <c r="Y14" i="1" s="1"/>
  <c r="X10" i="1"/>
  <c r="Y10" i="1" s="1"/>
  <c r="X20" i="1"/>
  <c r="Y20" i="1" s="1"/>
  <c r="X24" i="1"/>
  <c r="Y24" i="1" s="1"/>
  <c r="X28" i="1"/>
  <c r="Y28" i="1" s="1"/>
  <c r="X16" i="1"/>
  <c r="Y16" i="1" s="1"/>
  <c r="X21" i="1"/>
  <c r="Y21" i="1" s="1"/>
  <c r="X25" i="1"/>
  <c r="Y25" i="1" s="1"/>
  <c r="X8" i="1"/>
  <c r="Y8" i="1" s="1"/>
  <c r="X7" i="1"/>
  <c r="Y7" i="1" s="1"/>
  <c r="X9" i="1"/>
  <c r="Y9" i="1" s="1"/>
  <c r="X29" i="1"/>
  <c r="Y29" i="1" s="1"/>
  <c r="X22" i="1"/>
  <c r="Y22" i="1" s="1"/>
  <c r="X23" i="1"/>
  <c r="Y23" i="1" s="1"/>
  <c r="X17" i="1"/>
  <c r="Y17" i="1" s="1"/>
  <c r="X19" i="1"/>
  <c r="Y19" i="1" s="1"/>
  <c r="X27" i="1"/>
  <c r="Y27" i="1" s="1"/>
  <c r="X26" i="1"/>
  <c r="Y26" i="1" s="1"/>
  <c r="X6" i="1"/>
  <c r="Y6" i="1" s="1"/>
  <c r="X18" i="1"/>
  <c r="Y18" i="1" s="1"/>
  <c r="X30" i="1" l="1"/>
  <c r="Y30" i="1"/>
</calcChain>
</file>

<file path=xl/sharedStrings.xml><?xml version="1.0" encoding="utf-8"?>
<sst xmlns="http://schemas.openxmlformats.org/spreadsheetml/2006/main" count="200" uniqueCount="56">
  <si>
    <t>Liczba punktów poboru</t>
  </si>
  <si>
    <t>Liczba miesięcy</t>
  </si>
  <si>
    <t>Liczba dni</t>
  </si>
  <si>
    <t>Oddział dystrybucji</t>
  </si>
  <si>
    <t>nd.</t>
  </si>
  <si>
    <t>SUMA:</t>
  </si>
  <si>
    <r>
      <t xml:space="preserve">Stawka opłaty zmiennej 
</t>
    </r>
    <r>
      <rPr>
        <sz val="9"/>
        <rFont val="Calibri"/>
        <family val="2"/>
        <charset val="238"/>
        <scheme val="minor"/>
      </rPr>
      <t>[gr/kWh]</t>
    </r>
  </si>
  <si>
    <r>
      <t xml:space="preserve">Moc umowna
</t>
    </r>
    <r>
      <rPr>
        <sz val="9"/>
        <rFont val="Calibri"/>
        <family val="2"/>
        <charset val="238"/>
        <scheme val="minor"/>
      </rPr>
      <t>[kWh/h]</t>
    </r>
  </si>
  <si>
    <r>
      <rPr>
        <b/>
        <sz val="9"/>
        <rFont val="Calibri"/>
        <family val="2"/>
        <charset val="238"/>
        <scheme val="minor"/>
      </rPr>
      <t>Szacunkowe zapotrzebowanie na paliwo gazowe łącznie</t>
    </r>
    <r>
      <rPr>
        <sz val="9"/>
        <rFont val="Calibri"/>
        <family val="2"/>
        <charset val="238"/>
        <scheme val="minor"/>
      </rPr>
      <t xml:space="preserve"> 
[kWh]</t>
    </r>
  </si>
  <si>
    <t>Cena za paliwo gazowe [zł netto]</t>
  </si>
  <si>
    <t>Cena za usługi dystrybucyjne [zł netto]**</t>
  </si>
  <si>
    <t>CENA OFERTY 
[zł netto]</t>
  </si>
  <si>
    <t>CENA OFERTY 
[zł brutto]</t>
  </si>
  <si>
    <t>Załącznik nr 3 do SWZ - Formularz cenowy</t>
  </si>
  <si>
    <t>Stawka podatku VAT</t>
  </si>
  <si>
    <t>Okres dostawy</t>
  </si>
  <si>
    <t>Grupa taryfowa OSD</t>
  </si>
  <si>
    <t>Grupa taryfowa sprzedawcy</t>
  </si>
  <si>
    <r>
      <rPr>
        <b/>
        <sz val="9"/>
        <rFont val="Calibri"/>
        <family val="2"/>
        <charset val="238"/>
        <scheme val="minor"/>
      </rPr>
      <t>Szacunkowe zapotrzebowanie na paliwo gazowe objęte ochroną taryfową, zwolnione z akcyzy</t>
    </r>
    <r>
      <rPr>
        <sz val="9"/>
        <rFont val="Calibri"/>
        <family val="2"/>
        <charset val="238"/>
        <scheme val="minor"/>
      </rPr>
      <t xml:space="preserve"> 
[kWh]</t>
    </r>
  </si>
  <si>
    <r>
      <rPr>
        <b/>
        <sz val="9"/>
        <rFont val="Calibri"/>
        <family val="2"/>
        <charset val="238"/>
        <scheme val="minor"/>
      </rPr>
      <t>Szacunkowe zapotrzebowanie na paliwo gazowe objęte ochroną taryfową, opodatkowane akcyzą 1,38 zł/GJ</t>
    </r>
    <r>
      <rPr>
        <sz val="9"/>
        <rFont val="Calibri"/>
        <family val="2"/>
        <charset val="238"/>
        <scheme val="minor"/>
      </rPr>
      <t xml:space="preserve">
[kWh]</t>
    </r>
  </si>
  <si>
    <r>
      <rPr>
        <b/>
        <sz val="9"/>
        <rFont val="Calibri"/>
        <family val="2"/>
        <charset val="238"/>
        <scheme val="minor"/>
      </rPr>
      <t>Szacunkowe zapotrzebowanie na paliwo gazowe, którego nie obejmuje ochrona taryfowa, zwolnione z akcyzy</t>
    </r>
    <r>
      <rPr>
        <sz val="9"/>
        <rFont val="Calibri"/>
        <family val="2"/>
        <charset val="238"/>
        <scheme val="minor"/>
      </rPr>
      <t xml:space="preserve"> 
[kWh]</t>
    </r>
  </si>
  <si>
    <r>
      <rPr>
        <b/>
        <sz val="9"/>
        <rFont val="Calibri"/>
        <family val="2"/>
        <charset val="238"/>
        <scheme val="minor"/>
      </rPr>
      <t>Szacunkowe zapotrzebowanie na paliwo gazowe, którego nie obejmuje ochrona taryfowa, opodatkowane akcyzą 1,38 zł/GJ</t>
    </r>
    <r>
      <rPr>
        <sz val="9"/>
        <rFont val="Calibri"/>
        <family val="2"/>
        <charset val="238"/>
        <scheme val="minor"/>
      </rPr>
      <t xml:space="preserve">
[kWh]</t>
    </r>
  </si>
  <si>
    <r>
      <rPr>
        <b/>
        <sz val="9"/>
        <rFont val="Calibri"/>
        <family val="2"/>
        <charset val="238"/>
        <scheme val="minor"/>
      </rPr>
      <t xml:space="preserve">Cena jednostkowa za paliwo gazowe, którego nie obejmuje ochrona taryfowa, bez akcyzy
</t>
    </r>
    <r>
      <rPr>
        <sz val="9"/>
        <rFont val="Calibri"/>
        <family val="2"/>
        <charset val="238"/>
        <scheme val="minor"/>
      </rPr>
      <t xml:space="preserve">[gr/kWh]
</t>
    </r>
    <r>
      <rPr>
        <i/>
        <sz val="9"/>
        <rFont val="Calibri"/>
        <family val="2"/>
        <charset val="238"/>
        <scheme val="minor"/>
      </rPr>
      <t>(z dokładnością
do 3 miejsc 
po przecinku)</t>
    </r>
  </si>
  <si>
    <r>
      <rPr>
        <b/>
        <sz val="9"/>
        <rFont val="Calibri"/>
        <family val="2"/>
        <charset val="238"/>
        <scheme val="minor"/>
      </rPr>
      <t>Łączny koszt paliwa gazowego</t>
    </r>
    <r>
      <rPr>
        <sz val="9"/>
        <rFont val="Calibri"/>
        <family val="2"/>
        <charset val="238"/>
        <scheme val="minor"/>
      </rPr>
      <t xml:space="preserve"> (zł)
(kol. 5 × kol. 13) /100 + (kol. 6 × kol. 14) /100 + (kol. 7 × kol. 15) /100 + (kol. 8 × kol. 16) /100 + (kol. 3 × kol. 10 × kol. 17)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</si>
  <si>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 xml:space="preserve">Stawka opłaty stałej </t>
    </r>
    <r>
      <rPr>
        <sz val="9"/>
        <rFont val="Calibri"/>
        <family val="2"/>
        <charset val="238"/>
        <scheme val="minor"/>
      </rPr>
      <t xml:space="preserve">
a) [zł/mc] 
dla grup taryfowych z ozn. 
W-1, W-2, W-3, W-4
b) [gr/(kWh/h) za h]
dla grup taryfowych z ozn. 
W-5, W-6</t>
    </r>
  </si>
  <si>
    <r>
      <rPr>
        <b/>
        <sz val="9"/>
        <rFont val="Calibri"/>
        <family val="2"/>
        <charset val="238"/>
        <scheme val="minor"/>
      </rPr>
      <t>Łącznie opłata stała</t>
    </r>
    <r>
      <rPr>
        <sz val="9"/>
        <rFont val="Calibri"/>
        <family val="2"/>
        <charset val="238"/>
        <scheme val="minor"/>
      </rPr>
      <t xml:space="preserve"> (zł)
a) (kol. 3 × kol. 10 × kol. 19) 
dla grup taryfowych z ozn.
W-1, W-2, W-3, W-4
b) (kol. 4 × kol. 11 × 24 h × kol. 19) /100 
dla grup taryfowych z ozn.
W-5, W-6
</t>
    </r>
    <r>
      <rPr>
        <i/>
        <sz val="9"/>
        <rFont val="Calibri"/>
        <family val="2"/>
        <charset val="238"/>
        <scheme val="minor"/>
      </rPr>
      <t xml:space="preserve">
(zaokrąglenie do 2 
miejsc po przecinku)</t>
    </r>
  </si>
  <si>
    <r>
      <rPr>
        <b/>
        <sz val="9"/>
        <rFont val="Calibri"/>
        <family val="2"/>
        <charset val="238"/>
        <scheme val="minor"/>
      </rPr>
      <t>Łącznie opłata zmienna</t>
    </r>
    <r>
      <rPr>
        <sz val="9"/>
        <rFont val="Calibri"/>
        <family val="2"/>
        <charset val="238"/>
        <scheme val="minor"/>
      </rPr>
      <t xml:space="preserve"> (zł)
(kol. 9 × kol. 21) /100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</si>
  <si>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>Łączny koszt usługi dystrybucji</t>
    </r>
    <r>
      <rPr>
        <sz val="9"/>
        <rFont val="Calibri"/>
        <family val="2"/>
        <charset val="238"/>
        <scheme val="minor"/>
      </rPr>
      <t xml:space="preserve"> (zł)
(kol. 20 + kol. 22)</t>
    </r>
  </si>
  <si>
    <t>(suma kol. 18 
+ kol. 23)</t>
  </si>
  <si>
    <r>
      <t xml:space="preserve">((kol. 24) 
× (1 + kol. 26))
</t>
    </r>
    <r>
      <rPr>
        <i/>
        <sz val="9"/>
        <rFont val="Calibri"/>
        <family val="2"/>
        <charset val="238"/>
        <scheme val="minor"/>
      </rPr>
      <t>(zaokrąglenie do 2 miejsc po przecinku)</t>
    </r>
  </si>
  <si>
    <r>
      <rPr>
        <b/>
        <sz val="9"/>
        <rFont val="Calibri"/>
        <family val="2"/>
        <charset val="238"/>
        <scheme val="minor"/>
      </rPr>
      <t xml:space="preserve">Cena jednostkowa za paliwo gazowe objęte ochroną taryfową**, bez akcyzy
</t>
    </r>
    <r>
      <rPr>
        <sz val="9"/>
        <rFont val="Calibri"/>
        <family val="2"/>
        <charset val="238"/>
        <scheme val="minor"/>
      </rPr>
      <t xml:space="preserve">[gr/kWh]
</t>
    </r>
    <r>
      <rPr>
        <i/>
        <sz val="9"/>
        <rFont val="Calibri"/>
        <family val="2"/>
        <charset val="238"/>
        <scheme val="minor"/>
      </rPr>
      <t>(z dokładnością
do 3 miejsc 
po przecinku)</t>
    </r>
  </si>
  <si>
    <t>tak</t>
  </si>
  <si>
    <r>
      <t xml:space="preserve">*Stawkę podatku akcyzowego 1,38 zł/GJ, która ma zastosowanie dla części zużycia paliwa gazowego przeznaczonej na cele opałowe (z wyłączeniem celów objętych zwolnieniem), przeliczono na gr/kWh zgodnie z obowiązującymi zasadami [Art. 89 ust. 1 pkt 13 oraz Art. 88 ust. 7 pkt 4 lit. a </t>
    </r>
    <r>
      <rPr>
        <i/>
        <sz val="12"/>
        <rFont val="Calibri"/>
        <family val="2"/>
        <charset val="238"/>
        <scheme val="minor"/>
      </rPr>
      <t>Ustawy o podatku akcyzowym</t>
    </r>
    <r>
      <rPr>
        <sz val="12"/>
        <rFont val="Calibri"/>
        <family val="2"/>
        <charset val="238"/>
        <scheme val="minor"/>
      </rPr>
      <t>] oraz przyjmując standardową wartość ciepła spalania 39,5 MJ/m3 dla gazu E oraz 28,8 MJ/m3 dla gazu Ls.</t>
    </r>
  </si>
  <si>
    <r>
      <rPr>
        <b/>
        <sz val="9"/>
        <rFont val="Calibri"/>
        <family val="2"/>
        <charset val="238"/>
        <scheme val="minor"/>
      </rPr>
      <t>Opłata handlowa/abonament</t>
    </r>
    <r>
      <rPr>
        <sz val="9"/>
        <rFont val="Calibri"/>
        <family val="2"/>
        <charset val="238"/>
        <scheme val="minor"/>
      </rPr>
      <t xml:space="preserve">
[zł/PPG/mc]
</t>
    </r>
    <r>
      <rPr>
        <i/>
        <sz val="9"/>
        <rFont val="Calibri"/>
        <family val="2"/>
        <charset val="238"/>
        <scheme val="minor"/>
      </rPr>
      <t>(z dokładnością do 2 miejsc po przecinku)</t>
    </r>
  </si>
  <si>
    <t>(B)W-5</t>
  </si>
  <si>
    <t>(B)W-3.12T</t>
  </si>
  <si>
    <t>Czy dane punkty poboru podlegają pełnej lub częściowej ochronie taryfowej</t>
  </si>
  <si>
    <t>** Stawki opłat dystrybucyjnych wskazane w niniejszym formularzu oraz stawki paliwa gazowego dla odbiorców chronionych służą porównaniu ofert, natomiast Zamawiający dopuszcza, że mogą one ulec zmianie oraz że rzeczywiste rozliczenia w powyższym zakresie będą prowadzone na podstawie zasad, cen i stawek opłat określonych w taryfach obowiązujących w okresie dostawy.</t>
  </si>
  <si>
    <r>
      <t xml:space="preserve">Cena jednostkowa za paliwo gazowe objęte ochroną taryfową**, z akcyzą*
</t>
    </r>
    <r>
      <rPr>
        <sz val="9"/>
        <rFont val="Calibri"/>
        <family val="2"/>
        <charset val="238"/>
        <scheme val="minor"/>
      </rPr>
      <t>[gr/kWh]
a) (kol. 13 + 0,390)
dla grup taryfowych W
b) (kol. 13 + 0,414)
dla grup taryfowych Ls</t>
    </r>
  </si>
  <si>
    <r>
      <t xml:space="preserve">Cena jednostkowa za paliwo gazowe, którego nie obejmuje ochrona taryfowa, z akcyzą*
</t>
    </r>
    <r>
      <rPr>
        <sz val="9"/>
        <rFont val="Calibri"/>
        <family val="2"/>
        <charset val="238"/>
        <scheme val="minor"/>
      </rPr>
      <t>[gr/kWh]
a) (kol. 15 + 0,390)
dla grup taryfowych W
b) (kol. 15 + 0,414)
dla grup taryfowych Ls</t>
    </r>
  </si>
  <si>
    <t>W-1.1_TA</t>
  </si>
  <si>
    <t>(B)W-1.12T</t>
  </si>
  <si>
    <t>PSG Sp. z o.o. - Tarnów</t>
  </si>
  <si>
    <t>W-2.1_TA</t>
  </si>
  <si>
    <t>(B)W-2.12T</t>
  </si>
  <si>
    <t>W-3.6_TA</t>
  </si>
  <si>
    <t>(B)W-4</t>
  </si>
  <si>
    <t>W-4_TA</t>
  </si>
  <si>
    <t>W-5.1_TA</t>
  </si>
  <si>
    <t>W-6A.1_TA</t>
  </si>
  <si>
    <t>nie</t>
  </si>
  <si>
    <t>W-3.9_TA</t>
  </si>
  <si>
    <t>01.01.2026 – 31.12.2027</t>
  </si>
  <si>
    <t>01.07.2025 – 31.12.2027</t>
  </si>
  <si>
    <t>01.01.2026 – 31.12.2026</t>
  </si>
  <si>
    <t>W-5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</si>
</sst>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8"/>
  <sheetViews>
    <sheetView tabSelected="1" topLeftCell="G12" zoomScale="70" zoomScaleNormal="70" workbookViewId="0">
      <selection activeCell="S32" sqref="S32"/>
    </sheetView>
  </sheetViews>
  <sheetFormatPr defaultRowHeight="14.4" x14ac:dyDescent="0.3"/>
  <cols>
    <col min="1" max="2" width="10.5546875" style="9" customWidth="1"/>
    <col min="3" max="3" width="9.6640625" style="9" customWidth="1"/>
    <col min="4" max="4" width="7.109375" style="9" customWidth="1"/>
    <col min="5" max="8" width="19.6640625" style="9" customWidth="1"/>
    <col min="9" max="9" width="14.109375" style="9" customWidth="1"/>
    <col min="10" max="10" width="10" style="9" customWidth="1"/>
    <col min="11" max="11" width="8.21875" style="9" bestFit="1" customWidth="1"/>
    <col min="12" max="12" width="21.77734375" style="9" customWidth="1"/>
    <col min="13" max="13" width="15.88671875" style="9" customWidth="1"/>
    <col min="14" max="14" width="19.77734375" style="9" customWidth="1"/>
    <col min="15" max="15" width="15.88671875" style="9" customWidth="1"/>
    <col min="16" max="16" width="19.21875" style="9" customWidth="1"/>
    <col min="17" max="17" width="12.33203125" style="9" customWidth="1"/>
    <col min="18" max="18" width="17.88671875" style="9" customWidth="1"/>
    <col min="19" max="19" width="20" style="9" customWidth="1"/>
    <col min="20" max="20" width="22.109375" style="9" customWidth="1"/>
    <col min="21" max="21" width="12.109375" style="9" customWidth="1"/>
    <col min="22" max="22" width="15.33203125" style="9" customWidth="1"/>
    <col min="23" max="23" width="13.33203125" style="9" customWidth="1"/>
    <col min="24" max="25" width="12.44140625" style="9" customWidth="1"/>
    <col min="26" max="26" width="7.88671875" customWidth="1"/>
    <col min="27" max="27" width="20.33203125" customWidth="1"/>
    <col min="28" max="28" width="14.21875" customWidth="1"/>
    <col min="29" max="29" width="9.88671875" bestFit="1" customWidth="1"/>
  </cols>
  <sheetData>
    <row r="1" spans="1:28" ht="15.75" customHeight="1" x14ac:dyDescent="0.3">
      <c r="A1" s="28" t="s">
        <v>13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24" customHeight="1" x14ac:dyDescent="0.3">
      <c r="A2" s="25" t="s">
        <v>16</v>
      </c>
      <c r="B2" s="30" t="s">
        <v>17</v>
      </c>
      <c r="C2" s="25" t="s">
        <v>0</v>
      </c>
      <c r="D2" s="25" t="s">
        <v>7</v>
      </c>
      <c r="E2" s="26" t="s">
        <v>18</v>
      </c>
      <c r="F2" s="26" t="s">
        <v>19</v>
      </c>
      <c r="G2" s="26" t="s">
        <v>20</v>
      </c>
      <c r="H2" s="26" t="s">
        <v>21</v>
      </c>
      <c r="I2" s="26" t="s">
        <v>8</v>
      </c>
      <c r="J2" s="25" t="s">
        <v>1</v>
      </c>
      <c r="K2" s="25" t="s">
        <v>2</v>
      </c>
      <c r="L2" s="25" t="s">
        <v>3</v>
      </c>
      <c r="M2" s="27" t="s">
        <v>9</v>
      </c>
      <c r="N2" s="27"/>
      <c r="O2" s="27"/>
      <c r="P2" s="27"/>
      <c r="Q2" s="27"/>
      <c r="R2" s="27"/>
      <c r="S2" s="27" t="s">
        <v>10</v>
      </c>
      <c r="T2" s="27"/>
      <c r="U2" s="27"/>
      <c r="V2" s="27"/>
      <c r="W2" s="27"/>
      <c r="X2" s="1" t="s">
        <v>11</v>
      </c>
      <c r="Y2" s="1" t="s">
        <v>12</v>
      </c>
      <c r="Z2" s="1"/>
      <c r="AA2" s="12"/>
      <c r="AB2" s="12"/>
    </row>
    <row r="3" spans="1:28" ht="144" x14ac:dyDescent="0.3">
      <c r="A3" s="25"/>
      <c r="B3" s="31"/>
      <c r="C3" s="25"/>
      <c r="D3" s="25"/>
      <c r="E3" s="26"/>
      <c r="F3" s="26"/>
      <c r="G3" s="26"/>
      <c r="H3" s="26"/>
      <c r="I3" s="26"/>
      <c r="J3" s="25"/>
      <c r="K3" s="25"/>
      <c r="L3" s="25"/>
      <c r="M3" s="17" t="s">
        <v>30</v>
      </c>
      <c r="N3" s="16" t="s">
        <v>38</v>
      </c>
      <c r="O3" s="17" t="s">
        <v>22</v>
      </c>
      <c r="P3" s="16" t="s">
        <v>39</v>
      </c>
      <c r="Q3" s="17" t="s">
        <v>33</v>
      </c>
      <c r="R3" s="17" t="s">
        <v>23</v>
      </c>
      <c r="S3" s="17" t="s">
        <v>24</v>
      </c>
      <c r="T3" s="17" t="s">
        <v>25</v>
      </c>
      <c r="U3" s="16" t="s">
        <v>6</v>
      </c>
      <c r="V3" s="17" t="s">
        <v>26</v>
      </c>
      <c r="W3" s="17" t="s">
        <v>27</v>
      </c>
      <c r="X3" s="17" t="s">
        <v>28</v>
      </c>
      <c r="Y3" s="17" t="s">
        <v>29</v>
      </c>
      <c r="Z3" s="17" t="s">
        <v>14</v>
      </c>
      <c r="AA3" s="13" t="s">
        <v>15</v>
      </c>
      <c r="AB3" s="13" t="s">
        <v>36</v>
      </c>
    </row>
    <row r="4" spans="1:28" ht="12.75" customHeight="1" x14ac:dyDescent="0.3">
      <c r="A4" s="2" t="str">
        <f>"-1-"</f>
        <v>-1-</v>
      </c>
      <c r="B4" s="2" t="str">
        <f>"-2-"</f>
        <v>-2-</v>
      </c>
      <c r="C4" s="2" t="str">
        <f>"-3-"</f>
        <v>-3-</v>
      </c>
      <c r="D4" s="2" t="str">
        <f>"-4-"</f>
        <v>-4-</v>
      </c>
      <c r="E4" s="2" t="str">
        <f>"-5-"</f>
        <v>-5-</v>
      </c>
      <c r="F4" s="2" t="str">
        <f>"-6-"</f>
        <v>-6-</v>
      </c>
      <c r="G4" s="2" t="str">
        <f>"-7-"</f>
        <v>-7-</v>
      </c>
      <c r="H4" s="2" t="str">
        <f>"-8-"</f>
        <v>-8-</v>
      </c>
      <c r="I4" s="2" t="str">
        <f>"-9-"</f>
        <v>-9-</v>
      </c>
      <c r="J4" s="2" t="str">
        <f>"-10-"</f>
        <v>-10-</v>
      </c>
      <c r="K4" s="2" t="str">
        <f>"-11-"</f>
        <v>-11-</v>
      </c>
      <c r="L4" s="2" t="str">
        <f>"-12-"</f>
        <v>-12-</v>
      </c>
      <c r="M4" s="2" t="str">
        <f>"-13-"</f>
        <v>-13-</v>
      </c>
      <c r="N4" s="2" t="str">
        <f>"-14-"</f>
        <v>-14-</v>
      </c>
      <c r="O4" s="2" t="str">
        <f>"-15-"</f>
        <v>-15-</v>
      </c>
      <c r="P4" s="2" t="str">
        <f>"-16-"</f>
        <v>-16-</v>
      </c>
      <c r="Q4" s="2" t="str">
        <f>"-17-"</f>
        <v>-17-</v>
      </c>
      <c r="R4" s="2" t="str">
        <f>"-18-"</f>
        <v>-18-</v>
      </c>
      <c r="S4" s="2" t="str">
        <f>"-19-"</f>
        <v>-19-</v>
      </c>
      <c r="T4" s="2" t="str">
        <f>"-20-"</f>
        <v>-20-</v>
      </c>
      <c r="U4" s="2" t="str">
        <f>"-21-"</f>
        <v>-21-</v>
      </c>
      <c r="V4" s="14" t="str">
        <f>"-22-"</f>
        <v>-22-</v>
      </c>
      <c r="W4" s="2" t="str">
        <f>"-23-"</f>
        <v>-23-</v>
      </c>
      <c r="X4" s="2" t="str">
        <f>"-24-"</f>
        <v>-24-</v>
      </c>
      <c r="Y4" s="2" t="str">
        <f>"-25-"</f>
        <v>-25-</v>
      </c>
      <c r="Z4" s="2" t="str">
        <f>"-26-"</f>
        <v>-26-</v>
      </c>
      <c r="AA4" s="2" t="str">
        <f>"-27-"</f>
        <v>-27-</v>
      </c>
      <c r="AB4" s="2" t="str">
        <f>"-28-"</f>
        <v>-28-</v>
      </c>
    </row>
    <row r="5" spans="1:28" ht="16.2" customHeight="1" x14ac:dyDescent="0.3">
      <c r="A5" s="2" t="s">
        <v>40</v>
      </c>
      <c r="B5" s="2" t="s">
        <v>41</v>
      </c>
      <c r="C5" s="2">
        <v>5</v>
      </c>
      <c r="D5" s="3" t="s">
        <v>4</v>
      </c>
      <c r="E5" s="4">
        <v>0</v>
      </c>
      <c r="F5" s="4">
        <v>0</v>
      </c>
      <c r="G5" s="4">
        <v>13200</v>
      </c>
      <c r="H5" s="4">
        <v>0</v>
      </c>
      <c r="I5" s="4">
        <v>13200</v>
      </c>
      <c r="J5" s="4">
        <v>24</v>
      </c>
      <c r="K5" s="4" t="s">
        <v>4</v>
      </c>
      <c r="L5" s="5" t="s">
        <v>42</v>
      </c>
      <c r="M5" s="18"/>
      <c r="N5" s="6" t="str">
        <f t="shared" ref="N5" si="0">IF(ROUND(M5,3)=0,"",ROUND(M5,3)+0.39)</f>
        <v/>
      </c>
      <c r="O5" s="18"/>
      <c r="P5" s="6" t="str">
        <f t="shared" ref="P5" si="1">IF(ROUND(O5,3)=0,"",ROUND(O5,3)+0.39)</f>
        <v/>
      </c>
      <c r="Q5" s="19"/>
      <c r="R5" s="7" t="str">
        <f>IFERROR(IF(ROUND(M5,3)&gt;0,ROUND(E5*ROUND(M5,3)/100+F5*N5/100
+G5*ROUND(O5,3)/100+H5*P5/100
+ROUND(Q5,2)*J5*C5,2),""),"")</f>
        <v/>
      </c>
      <c r="S5" s="8">
        <v>5.74</v>
      </c>
      <c r="T5" s="7">
        <f t="shared" ref="T5" si="2">ROUND(IF(D5="nd.",C5*S5*J5,(K5*24*D5*S5)/100),2)</f>
        <v>688.8</v>
      </c>
      <c r="U5" s="8">
        <v>8.4369999999999994</v>
      </c>
      <c r="V5" s="7">
        <f t="shared" ref="V5" si="3">ROUND(U5*I5/100,2)</f>
        <v>1113.68</v>
      </c>
      <c r="W5" s="7">
        <f t="shared" ref="W5" si="4">T5+V5</f>
        <v>1802.48</v>
      </c>
      <c r="X5" s="7" t="str">
        <f t="shared" ref="X5" si="5">IF(M5&gt;0,R5+W5,"")</f>
        <v/>
      </c>
      <c r="Y5" s="7" t="str">
        <f t="shared" ref="Y5" si="6">IF(M5&gt;0,ROUND(X5*(1+Z5),2),"")</f>
        <v/>
      </c>
      <c r="Z5" s="15">
        <f>23%</f>
        <v>0.23</v>
      </c>
      <c r="AA5" s="14" t="s">
        <v>52</v>
      </c>
      <c r="AB5" s="14" t="s">
        <v>50</v>
      </c>
    </row>
    <row r="6" spans="1:28" ht="16.2" customHeight="1" x14ac:dyDescent="0.3">
      <c r="A6" s="2" t="s">
        <v>43</v>
      </c>
      <c r="B6" s="2" t="s">
        <v>44</v>
      </c>
      <c r="C6" s="2">
        <v>5</v>
      </c>
      <c r="D6" s="3" t="s">
        <v>4</v>
      </c>
      <c r="E6" s="4">
        <v>0</v>
      </c>
      <c r="F6" s="4">
        <v>0</v>
      </c>
      <c r="G6" s="4">
        <v>53876</v>
      </c>
      <c r="H6" s="4">
        <v>0</v>
      </c>
      <c r="I6" s="4">
        <v>53876</v>
      </c>
      <c r="J6" s="4">
        <v>24</v>
      </c>
      <c r="K6" s="4" t="s">
        <v>4</v>
      </c>
      <c r="L6" s="5" t="s">
        <v>42</v>
      </c>
      <c r="M6" s="18"/>
      <c r="N6" s="6" t="str">
        <f t="shared" ref="N6:N20" si="7">IF(ROUND(M6,3)=0,"",ROUND(M6,3)+0.39)</f>
        <v/>
      </c>
      <c r="O6" s="18"/>
      <c r="P6" s="6" t="str">
        <f t="shared" ref="P6:P20" si="8">IF(ROUND(O6,3)=0,"",ROUND(O6,3)+0.39)</f>
        <v/>
      </c>
      <c r="Q6" s="19"/>
      <c r="R6" s="7" t="str">
        <f t="shared" ref="R6:R29" si="9">IFERROR(IF(ROUND(M6,3)&gt;0,ROUND(E6*ROUND(M6,3)/100+F6*N6/100
+G6*ROUND(O6,3)/100+H6*P6/100
+ROUND(Q6,2)*J6*C6,2),""),"")</f>
        <v/>
      </c>
      <c r="S6" s="8">
        <v>14.59</v>
      </c>
      <c r="T6" s="7">
        <f t="shared" ref="T6:T29" si="10">ROUND(IF(D6="nd.",C6*S6*J6,(K6*24*D6*S6)/100),2)</f>
        <v>1750.8</v>
      </c>
      <c r="U6" s="8">
        <v>6.1369999999999996</v>
      </c>
      <c r="V6" s="7">
        <f t="shared" ref="V6:V29" si="11">ROUND(U6*I6/100,2)</f>
        <v>3306.37</v>
      </c>
      <c r="W6" s="7">
        <f t="shared" ref="W6:W29" si="12">T6+V6</f>
        <v>5057.17</v>
      </c>
      <c r="X6" s="7" t="str">
        <f t="shared" ref="X6:X29" si="13">IF(M6&gt;0,R6+W6,"")</f>
        <v/>
      </c>
      <c r="Y6" s="7" t="str">
        <f t="shared" ref="Y6:Y29" si="14">IF(M6&gt;0,ROUND(X6*(1+Z6),2),"")</f>
        <v/>
      </c>
      <c r="Z6" s="15">
        <f>23%</f>
        <v>0.23</v>
      </c>
      <c r="AA6" s="14" t="s">
        <v>52</v>
      </c>
      <c r="AB6" s="14" t="s">
        <v>50</v>
      </c>
    </row>
    <row r="7" spans="1:28" ht="16.2" customHeight="1" x14ac:dyDescent="0.3">
      <c r="A7" s="2" t="s">
        <v>45</v>
      </c>
      <c r="B7" s="2" t="s">
        <v>35</v>
      </c>
      <c r="C7" s="2">
        <v>2</v>
      </c>
      <c r="D7" s="3" t="s">
        <v>4</v>
      </c>
      <c r="E7" s="4">
        <v>0</v>
      </c>
      <c r="F7" s="4">
        <v>0</v>
      </c>
      <c r="G7" s="4">
        <v>81367</v>
      </c>
      <c r="H7" s="4">
        <v>0</v>
      </c>
      <c r="I7" s="4">
        <v>81367</v>
      </c>
      <c r="J7" s="4">
        <v>12</v>
      </c>
      <c r="K7" s="4" t="s">
        <v>4</v>
      </c>
      <c r="L7" s="5" t="s">
        <v>42</v>
      </c>
      <c r="M7" s="18"/>
      <c r="N7" s="6" t="str">
        <f t="shared" si="7"/>
        <v/>
      </c>
      <c r="O7" s="18"/>
      <c r="P7" s="6" t="str">
        <f t="shared" si="8"/>
        <v/>
      </c>
      <c r="Q7" s="19"/>
      <c r="R7" s="7" t="str">
        <f t="shared" si="9"/>
        <v/>
      </c>
      <c r="S7" s="8">
        <v>56.37</v>
      </c>
      <c r="T7" s="7">
        <f t="shared" si="10"/>
        <v>1352.88</v>
      </c>
      <c r="U7" s="8">
        <v>4.6020000000000003</v>
      </c>
      <c r="V7" s="7">
        <f t="shared" si="11"/>
        <v>3744.51</v>
      </c>
      <c r="W7" s="7">
        <f t="shared" si="12"/>
        <v>5097.3900000000003</v>
      </c>
      <c r="X7" s="7" t="str">
        <f t="shared" si="13"/>
        <v/>
      </c>
      <c r="Y7" s="7" t="str">
        <f t="shared" si="14"/>
        <v/>
      </c>
      <c r="Z7" s="15">
        <f>23%</f>
        <v>0.23</v>
      </c>
      <c r="AA7" s="14" t="s">
        <v>54</v>
      </c>
      <c r="AB7" s="14" t="s">
        <v>50</v>
      </c>
    </row>
    <row r="8" spans="1:28" ht="16.2" customHeight="1" x14ac:dyDescent="0.3">
      <c r="A8" s="2" t="s">
        <v>45</v>
      </c>
      <c r="B8" s="2" t="s">
        <v>35</v>
      </c>
      <c r="C8" s="2">
        <v>18</v>
      </c>
      <c r="D8" s="3" t="s">
        <v>4</v>
      </c>
      <c r="E8" s="4">
        <v>0</v>
      </c>
      <c r="F8" s="4">
        <v>0</v>
      </c>
      <c r="G8" s="4">
        <v>1295394</v>
      </c>
      <c r="H8" s="4">
        <v>143318</v>
      </c>
      <c r="I8" s="4">
        <v>1438712</v>
      </c>
      <c r="J8" s="4">
        <v>24</v>
      </c>
      <c r="K8" s="4" t="s">
        <v>4</v>
      </c>
      <c r="L8" s="5" t="s">
        <v>42</v>
      </c>
      <c r="M8" s="18"/>
      <c r="N8" s="6" t="str">
        <f t="shared" si="7"/>
        <v/>
      </c>
      <c r="O8" s="18"/>
      <c r="P8" s="6" t="str">
        <f t="shared" si="8"/>
        <v/>
      </c>
      <c r="Q8" s="19"/>
      <c r="R8" s="7" t="str">
        <f t="shared" si="9"/>
        <v/>
      </c>
      <c r="S8" s="8">
        <v>56.37</v>
      </c>
      <c r="T8" s="7">
        <f t="shared" si="10"/>
        <v>24351.84</v>
      </c>
      <c r="U8" s="8">
        <v>4.6020000000000003</v>
      </c>
      <c r="V8" s="7">
        <f t="shared" si="11"/>
        <v>66209.53</v>
      </c>
      <c r="W8" s="7">
        <f t="shared" si="12"/>
        <v>90561.37</v>
      </c>
      <c r="X8" s="7" t="str">
        <f t="shared" si="13"/>
        <v/>
      </c>
      <c r="Y8" s="7" t="str">
        <f t="shared" si="14"/>
        <v/>
      </c>
      <c r="Z8" s="15">
        <f>23%</f>
        <v>0.23</v>
      </c>
      <c r="AA8" s="14" t="s">
        <v>52</v>
      </c>
      <c r="AB8" s="14" t="s">
        <v>50</v>
      </c>
    </row>
    <row r="9" spans="1:28" ht="16.2" customHeight="1" x14ac:dyDescent="0.3">
      <c r="A9" s="2" t="s">
        <v>45</v>
      </c>
      <c r="B9" s="2" t="s">
        <v>35</v>
      </c>
      <c r="C9" s="2">
        <v>3</v>
      </c>
      <c r="D9" s="3" t="s">
        <v>4</v>
      </c>
      <c r="E9" s="4">
        <v>0</v>
      </c>
      <c r="F9" s="4">
        <v>0</v>
      </c>
      <c r="G9" s="4">
        <v>379444</v>
      </c>
      <c r="H9" s="4">
        <v>0</v>
      </c>
      <c r="I9" s="4">
        <v>379444</v>
      </c>
      <c r="J9" s="4">
        <v>30</v>
      </c>
      <c r="K9" s="4" t="s">
        <v>4</v>
      </c>
      <c r="L9" s="5" t="s">
        <v>42</v>
      </c>
      <c r="M9" s="18"/>
      <c r="N9" s="6" t="str">
        <f t="shared" si="7"/>
        <v/>
      </c>
      <c r="O9" s="18"/>
      <c r="P9" s="6" t="str">
        <f t="shared" si="8"/>
        <v/>
      </c>
      <c r="Q9" s="19"/>
      <c r="R9" s="7" t="str">
        <f t="shared" si="9"/>
        <v/>
      </c>
      <c r="S9" s="8">
        <v>56.37</v>
      </c>
      <c r="T9" s="7">
        <f t="shared" si="10"/>
        <v>5073.3</v>
      </c>
      <c r="U9" s="8">
        <v>4.6020000000000003</v>
      </c>
      <c r="V9" s="7">
        <f t="shared" si="11"/>
        <v>17462.009999999998</v>
      </c>
      <c r="W9" s="7">
        <f t="shared" si="12"/>
        <v>22535.309999999998</v>
      </c>
      <c r="X9" s="7" t="str">
        <f t="shared" si="13"/>
        <v/>
      </c>
      <c r="Y9" s="7" t="str">
        <f t="shared" si="14"/>
        <v/>
      </c>
      <c r="Z9" s="15">
        <f>23%</f>
        <v>0.23</v>
      </c>
      <c r="AA9" s="14" t="s">
        <v>53</v>
      </c>
      <c r="AB9" s="14" t="s">
        <v>50</v>
      </c>
    </row>
    <row r="10" spans="1:28" ht="16.2" customHeight="1" x14ac:dyDescent="0.3">
      <c r="A10" s="2" t="s">
        <v>47</v>
      </c>
      <c r="B10" s="2" t="s">
        <v>46</v>
      </c>
      <c r="C10" s="2">
        <v>2</v>
      </c>
      <c r="D10" s="3" t="s">
        <v>4</v>
      </c>
      <c r="E10" s="4">
        <v>0</v>
      </c>
      <c r="F10" s="4">
        <v>0</v>
      </c>
      <c r="G10" s="4">
        <v>587964</v>
      </c>
      <c r="H10" s="4">
        <v>0</v>
      </c>
      <c r="I10" s="4">
        <v>587964</v>
      </c>
      <c r="J10" s="4">
        <v>24</v>
      </c>
      <c r="K10" s="4" t="s">
        <v>4</v>
      </c>
      <c r="L10" s="5" t="s">
        <v>42</v>
      </c>
      <c r="M10" s="18"/>
      <c r="N10" s="6" t="str">
        <f t="shared" ref="N10:N15" si="15">IF(ROUND(M10,3)=0,"",ROUND(M10,3)+0.39)</f>
        <v/>
      </c>
      <c r="O10" s="18"/>
      <c r="P10" s="6" t="str">
        <f t="shared" ref="P10:P15" si="16">IF(ROUND(O10,3)=0,"",ROUND(O10,3)+0.39)</f>
        <v/>
      </c>
      <c r="Q10" s="19"/>
      <c r="R10" s="7" t="str">
        <f t="shared" ref="R10:R15" si="17">IFERROR(IF(ROUND(M10,3)&gt;0,ROUND(E10*ROUND(M10,3)/100+F10*N10/100
+G10*ROUND(O10,3)/100+H10*P10/100
+ROUND(Q10,2)*J10*C10,2),""),"")</f>
        <v/>
      </c>
      <c r="S10" s="8">
        <v>314.86</v>
      </c>
      <c r="T10" s="7">
        <f t="shared" ref="T10:T15" si="18">ROUND(IF(D10="nd.",C10*S10*J10,(K10*24*D10*S10)/100),2)</f>
        <v>15113.28</v>
      </c>
      <c r="U10" s="8">
        <v>4.5090000000000003</v>
      </c>
      <c r="V10" s="7">
        <f t="shared" ref="V10:V15" si="19">ROUND(U10*I10/100,2)</f>
        <v>26511.3</v>
      </c>
      <c r="W10" s="7">
        <f t="shared" ref="W10:W15" si="20">T10+V10</f>
        <v>41624.58</v>
      </c>
      <c r="X10" s="7" t="str">
        <f t="shared" ref="X10:X15" si="21">IF(M10&gt;0,R10+W10,"")</f>
        <v/>
      </c>
      <c r="Y10" s="7" t="str">
        <f t="shared" ref="Y10:Y15" si="22">IF(M10&gt;0,ROUND(X10*(1+Z10),2),"")</f>
        <v/>
      </c>
      <c r="Z10" s="15">
        <f>23%</f>
        <v>0.23</v>
      </c>
      <c r="AA10" s="14" t="s">
        <v>52</v>
      </c>
      <c r="AB10" s="14" t="s">
        <v>50</v>
      </c>
    </row>
    <row r="11" spans="1:28" ht="16.2" customHeight="1" x14ac:dyDescent="0.3">
      <c r="A11" s="2" t="s">
        <v>47</v>
      </c>
      <c r="B11" s="2" t="s">
        <v>46</v>
      </c>
      <c r="C11" s="2">
        <v>1</v>
      </c>
      <c r="D11" s="3" t="s">
        <v>4</v>
      </c>
      <c r="E11" s="4">
        <v>0</v>
      </c>
      <c r="F11" s="4">
        <v>0</v>
      </c>
      <c r="G11" s="4">
        <v>377407</v>
      </c>
      <c r="H11" s="4">
        <v>0</v>
      </c>
      <c r="I11" s="4">
        <v>377407</v>
      </c>
      <c r="J11" s="4">
        <v>30</v>
      </c>
      <c r="K11" s="4" t="s">
        <v>4</v>
      </c>
      <c r="L11" s="5" t="s">
        <v>42</v>
      </c>
      <c r="M11" s="18"/>
      <c r="N11" s="6" t="str">
        <f t="shared" si="15"/>
        <v/>
      </c>
      <c r="O11" s="18"/>
      <c r="P11" s="6" t="str">
        <f t="shared" si="16"/>
        <v/>
      </c>
      <c r="Q11" s="19"/>
      <c r="R11" s="7" t="str">
        <f t="shared" si="17"/>
        <v/>
      </c>
      <c r="S11" s="8">
        <v>314.86</v>
      </c>
      <c r="T11" s="7">
        <f t="shared" si="18"/>
        <v>9445.7999999999993</v>
      </c>
      <c r="U11" s="8">
        <v>4.5090000000000003</v>
      </c>
      <c r="V11" s="7">
        <f t="shared" si="19"/>
        <v>17017.28</v>
      </c>
      <c r="W11" s="7">
        <f t="shared" si="20"/>
        <v>26463.079999999998</v>
      </c>
      <c r="X11" s="7" t="str">
        <f t="shared" si="21"/>
        <v/>
      </c>
      <c r="Y11" s="7" t="str">
        <f t="shared" si="22"/>
        <v/>
      </c>
      <c r="Z11" s="15">
        <f>23%</f>
        <v>0.23</v>
      </c>
      <c r="AA11" s="14" t="s">
        <v>53</v>
      </c>
      <c r="AB11" s="14" t="s">
        <v>50</v>
      </c>
    </row>
    <row r="12" spans="1:28" ht="16.2" customHeight="1" x14ac:dyDescent="0.3">
      <c r="A12" s="2" t="s">
        <v>48</v>
      </c>
      <c r="B12" s="2" t="s">
        <v>34</v>
      </c>
      <c r="C12" s="2">
        <v>1</v>
      </c>
      <c r="D12" s="3">
        <v>198</v>
      </c>
      <c r="E12" s="4">
        <v>0</v>
      </c>
      <c r="F12" s="4">
        <v>0</v>
      </c>
      <c r="G12" s="4">
        <v>290702</v>
      </c>
      <c r="H12" s="4">
        <v>0</v>
      </c>
      <c r="I12" s="4">
        <v>290702</v>
      </c>
      <c r="J12" s="4">
        <v>24</v>
      </c>
      <c r="K12" s="4">
        <v>730</v>
      </c>
      <c r="L12" s="5" t="s">
        <v>42</v>
      </c>
      <c r="M12" s="18"/>
      <c r="N12" s="6" t="str">
        <f t="shared" si="15"/>
        <v/>
      </c>
      <c r="O12" s="18"/>
      <c r="P12" s="6" t="str">
        <f t="shared" si="16"/>
        <v/>
      </c>
      <c r="Q12" s="19"/>
      <c r="R12" s="7" t="str">
        <f t="shared" si="17"/>
        <v/>
      </c>
      <c r="S12" s="8">
        <v>0.81599999999999995</v>
      </c>
      <c r="T12" s="7">
        <f t="shared" si="18"/>
        <v>28306.71</v>
      </c>
      <c r="U12" s="8">
        <v>4.0890000000000004</v>
      </c>
      <c r="V12" s="7">
        <f t="shared" si="19"/>
        <v>11886.8</v>
      </c>
      <c r="W12" s="7">
        <f t="shared" si="20"/>
        <v>40193.509999999995</v>
      </c>
      <c r="X12" s="7" t="str">
        <f t="shared" si="21"/>
        <v/>
      </c>
      <c r="Y12" s="7" t="str">
        <f t="shared" si="22"/>
        <v/>
      </c>
      <c r="Z12" s="15">
        <f>23%</f>
        <v>0.23</v>
      </c>
      <c r="AA12" s="14" t="s">
        <v>52</v>
      </c>
      <c r="AB12" s="14" t="s">
        <v>50</v>
      </c>
    </row>
    <row r="13" spans="1:28" ht="16.2" customHeight="1" x14ac:dyDescent="0.3">
      <c r="A13" s="2" t="s">
        <v>49</v>
      </c>
      <c r="B13" s="2" t="s">
        <v>55</v>
      </c>
      <c r="C13" s="2">
        <v>1</v>
      </c>
      <c r="D13" s="3">
        <v>711</v>
      </c>
      <c r="E13" s="4">
        <v>0</v>
      </c>
      <c r="F13" s="4">
        <v>0</v>
      </c>
      <c r="G13" s="4">
        <v>1404881</v>
      </c>
      <c r="H13" s="4">
        <v>0</v>
      </c>
      <c r="I13" s="4">
        <v>1404881</v>
      </c>
      <c r="J13" s="4">
        <v>12</v>
      </c>
      <c r="K13" s="4">
        <v>365</v>
      </c>
      <c r="L13" s="5" t="s">
        <v>42</v>
      </c>
      <c r="M13" s="18"/>
      <c r="N13" s="6" t="str">
        <f t="shared" si="15"/>
        <v/>
      </c>
      <c r="O13" s="18"/>
      <c r="P13" s="6" t="str">
        <f t="shared" si="16"/>
        <v/>
      </c>
      <c r="Q13" s="19"/>
      <c r="R13" s="7" t="str">
        <f t="shared" si="17"/>
        <v/>
      </c>
      <c r="S13" s="8">
        <v>0.75</v>
      </c>
      <c r="T13" s="7">
        <f t="shared" si="18"/>
        <v>46712.7</v>
      </c>
      <c r="U13" s="8">
        <v>3.8519999999999999</v>
      </c>
      <c r="V13" s="7">
        <f t="shared" si="19"/>
        <v>54116.02</v>
      </c>
      <c r="W13" s="7">
        <f t="shared" si="20"/>
        <v>100828.72</v>
      </c>
      <c r="X13" s="7" t="str">
        <f t="shared" si="21"/>
        <v/>
      </c>
      <c r="Y13" s="7" t="str">
        <f t="shared" si="22"/>
        <v/>
      </c>
      <c r="Z13" s="15">
        <f>23%</f>
        <v>0.23</v>
      </c>
      <c r="AA13" s="14" t="s">
        <v>54</v>
      </c>
      <c r="AB13" s="14" t="s">
        <v>50</v>
      </c>
    </row>
    <row r="14" spans="1:28" ht="16.2" customHeight="1" x14ac:dyDescent="0.3">
      <c r="A14" s="2" t="s">
        <v>40</v>
      </c>
      <c r="B14" s="2" t="s">
        <v>41</v>
      </c>
      <c r="C14" s="2">
        <v>9</v>
      </c>
      <c r="D14" s="3" t="s">
        <v>4</v>
      </c>
      <c r="E14" s="4">
        <v>28968</v>
      </c>
      <c r="F14" s="4">
        <v>0</v>
      </c>
      <c r="G14" s="4">
        <v>0</v>
      </c>
      <c r="H14" s="4">
        <v>0</v>
      </c>
      <c r="I14" s="4">
        <v>28968</v>
      </c>
      <c r="J14" s="4">
        <v>24</v>
      </c>
      <c r="K14" s="4" t="s">
        <v>4</v>
      </c>
      <c r="L14" s="5" t="s">
        <v>42</v>
      </c>
      <c r="M14" s="18"/>
      <c r="N14" s="6" t="str">
        <f t="shared" si="15"/>
        <v/>
      </c>
      <c r="O14" s="18"/>
      <c r="P14" s="6" t="str">
        <f t="shared" si="16"/>
        <v/>
      </c>
      <c r="Q14" s="19"/>
      <c r="R14" s="7" t="str">
        <f t="shared" si="17"/>
        <v/>
      </c>
      <c r="S14" s="8">
        <v>5.74</v>
      </c>
      <c r="T14" s="7">
        <f t="shared" si="18"/>
        <v>1239.8399999999999</v>
      </c>
      <c r="U14" s="8">
        <v>8.4369999999999994</v>
      </c>
      <c r="V14" s="7">
        <f t="shared" si="19"/>
        <v>2444.0300000000002</v>
      </c>
      <c r="W14" s="7">
        <f t="shared" si="20"/>
        <v>3683.87</v>
      </c>
      <c r="X14" s="7" t="str">
        <f t="shared" si="21"/>
        <v/>
      </c>
      <c r="Y14" s="7" t="str">
        <f t="shared" si="22"/>
        <v/>
      </c>
      <c r="Z14" s="15">
        <f>23%</f>
        <v>0.23</v>
      </c>
      <c r="AA14" s="14" t="s">
        <v>52</v>
      </c>
      <c r="AB14" s="14" t="s">
        <v>31</v>
      </c>
    </row>
    <row r="15" spans="1:28" ht="16.2" customHeight="1" x14ac:dyDescent="0.3">
      <c r="A15" s="2" t="s">
        <v>40</v>
      </c>
      <c r="B15" s="2" t="s">
        <v>41</v>
      </c>
      <c r="C15" s="2">
        <v>10</v>
      </c>
      <c r="D15" s="3" t="s">
        <v>4</v>
      </c>
      <c r="E15" s="4">
        <v>33118</v>
      </c>
      <c r="F15" s="4">
        <v>0</v>
      </c>
      <c r="G15" s="4">
        <v>0</v>
      </c>
      <c r="H15" s="4">
        <v>0</v>
      </c>
      <c r="I15" s="4">
        <v>33118</v>
      </c>
      <c r="J15" s="4">
        <v>30</v>
      </c>
      <c r="K15" s="4" t="s">
        <v>4</v>
      </c>
      <c r="L15" s="5" t="s">
        <v>42</v>
      </c>
      <c r="M15" s="18"/>
      <c r="N15" s="6" t="str">
        <f t="shared" si="15"/>
        <v/>
      </c>
      <c r="O15" s="18"/>
      <c r="P15" s="6" t="str">
        <f t="shared" si="16"/>
        <v/>
      </c>
      <c r="Q15" s="19"/>
      <c r="R15" s="7" t="str">
        <f t="shared" si="17"/>
        <v/>
      </c>
      <c r="S15" s="8">
        <v>5.74</v>
      </c>
      <c r="T15" s="7">
        <f t="shared" si="18"/>
        <v>1722</v>
      </c>
      <c r="U15" s="8">
        <v>8.4369999999999994</v>
      </c>
      <c r="V15" s="7">
        <f t="shared" si="19"/>
        <v>2794.17</v>
      </c>
      <c r="W15" s="7">
        <f t="shared" si="20"/>
        <v>4516.17</v>
      </c>
      <c r="X15" s="7" t="str">
        <f t="shared" si="21"/>
        <v/>
      </c>
      <c r="Y15" s="7" t="str">
        <f t="shared" si="22"/>
        <v/>
      </c>
      <c r="Z15" s="15">
        <f>23%</f>
        <v>0.23</v>
      </c>
      <c r="AA15" s="14" t="s">
        <v>53</v>
      </c>
      <c r="AB15" s="14" t="s">
        <v>31</v>
      </c>
    </row>
    <row r="16" spans="1:28" ht="16.2" customHeight="1" x14ac:dyDescent="0.3">
      <c r="A16" s="2" t="s">
        <v>43</v>
      </c>
      <c r="B16" s="2" t="s">
        <v>44</v>
      </c>
      <c r="C16" s="2">
        <v>3</v>
      </c>
      <c r="D16" s="3" t="s">
        <v>4</v>
      </c>
      <c r="E16" s="4">
        <v>16190</v>
      </c>
      <c r="F16" s="4">
        <v>0</v>
      </c>
      <c r="G16" s="4">
        <v>0</v>
      </c>
      <c r="H16" s="4">
        <v>0</v>
      </c>
      <c r="I16" s="4">
        <v>16190</v>
      </c>
      <c r="J16" s="4">
        <v>12</v>
      </c>
      <c r="K16" s="4" t="s">
        <v>4</v>
      </c>
      <c r="L16" s="5" t="s">
        <v>42</v>
      </c>
      <c r="M16" s="18"/>
      <c r="N16" s="6" t="str">
        <f t="shared" si="7"/>
        <v/>
      </c>
      <c r="O16" s="18"/>
      <c r="P16" s="6" t="str">
        <f t="shared" si="8"/>
        <v/>
      </c>
      <c r="Q16" s="19"/>
      <c r="R16" s="7" t="str">
        <f t="shared" si="9"/>
        <v/>
      </c>
      <c r="S16" s="8">
        <v>14.59</v>
      </c>
      <c r="T16" s="7">
        <f t="shared" si="10"/>
        <v>525.24</v>
      </c>
      <c r="U16" s="8">
        <v>6.1369999999999996</v>
      </c>
      <c r="V16" s="7">
        <f t="shared" si="11"/>
        <v>993.58</v>
      </c>
      <c r="W16" s="7">
        <f t="shared" si="12"/>
        <v>1518.8200000000002</v>
      </c>
      <c r="X16" s="7" t="str">
        <f t="shared" si="13"/>
        <v/>
      </c>
      <c r="Y16" s="7" t="str">
        <f t="shared" si="14"/>
        <v/>
      </c>
      <c r="Z16" s="15">
        <f>23%</f>
        <v>0.23</v>
      </c>
      <c r="AA16" s="14" t="s">
        <v>54</v>
      </c>
      <c r="AB16" s="14" t="s">
        <v>31</v>
      </c>
    </row>
    <row r="17" spans="1:28" ht="16.2" customHeight="1" x14ac:dyDescent="0.3">
      <c r="A17" s="2" t="s">
        <v>43</v>
      </c>
      <c r="B17" s="2" t="s">
        <v>44</v>
      </c>
      <c r="C17" s="2">
        <v>24</v>
      </c>
      <c r="D17" s="3" t="s">
        <v>4</v>
      </c>
      <c r="E17" s="4">
        <v>440964</v>
      </c>
      <c r="F17" s="4">
        <v>0</v>
      </c>
      <c r="G17" s="4">
        <v>0</v>
      </c>
      <c r="H17" s="4">
        <v>0</v>
      </c>
      <c r="I17" s="4">
        <v>440964</v>
      </c>
      <c r="J17" s="4">
        <v>24</v>
      </c>
      <c r="K17" s="4" t="s">
        <v>4</v>
      </c>
      <c r="L17" s="5" t="s">
        <v>42</v>
      </c>
      <c r="M17" s="18"/>
      <c r="N17" s="6" t="str">
        <f t="shared" si="7"/>
        <v/>
      </c>
      <c r="O17" s="18"/>
      <c r="P17" s="6" t="str">
        <f t="shared" si="8"/>
        <v/>
      </c>
      <c r="Q17" s="19"/>
      <c r="R17" s="7" t="str">
        <f t="shared" si="9"/>
        <v/>
      </c>
      <c r="S17" s="8">
        <v>14.59</v>
      </c>
      <c r="T17" s="7">
        <f t="shared" si="10"/>
        <v>8403.84</v>
      </c>
      <c r="U17" s="8">
        <v>6.1369999999999996</v>
      </c>
      <c r="V17" s="7">
        <f t="shared" si="11"/>
        <v>27061.96</v>
      </c>
      <c r="W17" s="7">
        <f t="shared" si="12"/>
        <v>35465.800000000003</v>
      </c>
      <c r="X17" s="7" t="str">
        <f t="shared" si="13"/>
        <v/>
      </c>
      <c r="Y17" s="7" t="str">
        <f t="shared" si="14"/>
        <v/>
      </c>
      <c r="Z17" s="15">
        <f>23%</f>
        <v>0.23</v>
      </c>
      <c r="AA17" s="14" t="s">
        <v>52</v>
      </c>
      <c r="AB17" s="14" t="s">
        <v>31</v>
      </c>
    </row>
    <row r="18" spans="1:28" ht="16.2" customHeight="1" x14ac:dyDescent="0.3">
      <c r="A18" s="2" t="s">
        <v>43</v>
      </c>
      <c r="B18" s="2" t="s">
        <v>44</v>
      </c>
      <c r="C18" s="2">
        <v>2</v>
      </c>
      <c r="D18" s="3" t="s">
        <v>4</v>
      </c>
      <c r="E18" s="4">
        <v>47458</v>
      </c>
      <c r="F18" s="4">
        <v>0</v>
      </c>
      <c r="G18" s="4">
        <v>0</v>
      </c>
      <c r="H18" s="4">
        <v>0</v>
      </c>
      <c r="I18" s="4">
        <v>47458</v>
      </c>
      <c r="J18" s="4">
        <v>30</v>
      </c>
      <c r="K18" s="4" t="s">
        <v>4</v>
      </c>
      <c r="L18" s="5" t="s">
        <v>42</v>
      </c>
      <c r="M18" s="18"/>
      <c r="N18" s="6" t="str">
        <f t="shared" si="7"/>
        <v/>
      </c>
      <c r="O18" s="18"/>
      <c r="P18" s="6" t="str">
        <f t="shared" si="8"/>
        <v/>
      </c>
      <c r="Q18" s="19"/>
      <c r="R18" s="7" t="str">
        <f t="shared" si="9"/>
        <v/>
      </c>
      <c r="S18" s="8">
        <v>14.59</v>
      </c>
      <c r="T18" s="7">
        <f t="shared" si="10"/>
        <v>875.4</v>
      </c>
      <c r="U18" s="8">
        <v>6.1369999999999996</v>
      </c>
      <c r="V18" s="7">
        <f t="shared" si="11"/>
        <v>2912.5</v>
      </c>
      <c r="W18" s="7">
        <f t="shared" si="12"/>
        <v>3787.9</v>
      </c>
      <c r="X18" s="7" t="str">
        <f t="shared" si="13"/>
        <v/>
      </c>
      <c r="Y18" s="7" t="str">
        <f t="shared" si="14"/>
        <v/>
      </c>
      <c r="Z18" s="15">
        <f>23%</f>
        <v>0.23</v>
      </c>
      <c r="AA18" s="14" t="s">
        <v>53</v>
      </c>
      <c r="AB18" s="14" t="s">
        <v>31</v>
      </c>
    </row>
    <row r="19" spans="1:28" ht="16.2" customHeight="1" x14ac:dyDescent="0.3">
      <c r="A19" s="2" t="s">
        <v>45</v>
      </c>
      <c r="B19" s="2" t="s">
        <v>35</v>
      </c>
      <c r="C19" s="2">
        <v>5</v>
      </c>
      <c r="D19" s="3" t="s">
        <v>4</v>
      </c>
      <c r="E19" s="4">
        <v>471369</v>
      </c>
      <c r="F19" s="4">
        <v>0</v>
      </c>
      <c r="G19" s="4">
        <v>0</v>
      </c>
      <c r="H19" s="4">
        <v>0</v>
      </c>
      <c r="I19" s="4">
        <v>471369</v>
      </c>
      <c r="J19" s="4">
        <v>12</v>
      </c>
      <c r="K19" s="4" t="s">
        <v>4</v>
      </c>
      <c r="L19" s="5" t="s">
        <v>42</v>
      </c>
      <c r="M19" s="18"/>
      <c r="N19" s="6" t="str">
        <f t="shared" si="7"/>
        <v/>
      </c>
      <c r="O19" s="18"/>
      <c r="P19" s="6" t="str">
        <f t="shared" si="8"/>
        <v/>
      </c>
      <c r="Q19" s="19"/>
      <c r="R19" s="7" t="str">
        <f t="shared" si="9"/>
        <v/>
      </c>
      <c r="S19" s="8">
        <v>56.37</v>
      </c>
      <c r="T19" s="7">
        <f t="shared" si="10"/>
        <v>3382.2</v>
      </c>
      <c r="U19" s="8">
        <v>4.6020000000000003</v>
      </c>
      <c r="V19" s="7">
        <f t="shared" si="11"/>
        <v>21692.400000000001</v>
      </c>
      <c r="W19" s="7">
        <f t="shared" si="12"/>
        <v>25074.600000000002</v>
      </c>
      <c r="X19" s="7" t="str">
        <f t="shared" si="13"/>
        <v/>
      </c>
      <c r="Y19" s="7" t="str">
        <f t="shared" si="14"/>
        <v/>
      </c>
      <c r="Z19" s="15">
        <f>23%</f>
        <v>0.23</v>
      </c>
      <c r="AA19" s="14" t="s">
        <v>54</v>
      </c>
      <c r="AB19" s="14" t="s">
        <v>31</v>
      </c>
    </row>
    <row r="20" spans="1:28" ht="16.2" customHeight="1" x14ac:dyDescent="0.3">
      <c r="A20" s="2" t="s">
        <v>45</v>
      </c>
      <c r="B20" s="2" t="s">
        <v>35</v>
      </c>
      <c r="C20" s="2">
        <v>65</v>
      </c>
      <c r="D20" s="3" t="s">
        <v>4</v>
      </c>
      <c r="E20" s="4">
        <v>5074967</v>
      </c>
      <c r="F20" s="4">
        <v>0</v>
      </c>
      <c r="G20" s="4">
        <v>713307</v>
      </c>
      <c r="H20" s="4">
        <v>0</v>
      </c>
      <c r="I20" s="4">
        <v>5788274</v>
      </c>
      <c r="J20" s="4">
        <v>24</v>
      </c>
      <c r="K20" s="4" t="s">
        <v>4</v>
      </c>
      <c r="L20" s="5" t="s">
        <v>42</v>
      </c>
      <c r="M20" s="18"/>
      <c r="N20" s="6" t="str">
        <f t="shared" si="7"/>
        <v/>
      </c>
      <c r="O20" s="18"/>
      <c r="P20" s="6" t="str">
        <f t="shared" si="8"/>
        <v/>
      </c>
      <c r="Q20" s="19"/>
      <c r="R20" s="7" t="str">
        <f t="shared" si="9"/>
        <v/>
      </c>
      <c r="S20" s="8">
        <v>56.37</v>
      </c>
      <c r="T20" s="7">
        <f t="shared" si="10"/>
        <v>87937.2</v>
      </c>
      <c r="U20" s="8">
        <v>4.6020000000000003</v>
      </c>
      <c r="V20" s="7">
        <f t="shared" si="11"/>
        <v>266376.37</v>
      </c>
      <c r="W20" s="7">
        <f t="shared" si="12"/>
        <v>354313.57</v>
      </c>
      <c r="X20" s="7" t="str">
        <f t="shared" si="13"/>
        <v/>
      </c>
      <c r="Y20" s="7" t="str">
        <f t="shared" si="14"/>
        <v/>
      </c>
      <c r="Z20" s="15">
        <f>23%</f>
        <v>0.23</v>
      </c>
      <c r="AA20" s="14" t="s">
        <v>52</v>
      </c>
      <c r="AB20" s="14" t="s">
        <v>31</v>
      </c>
    </row>
    <row r="21" spans="1:28" ht="16.2" customHeight="1" x14ac:dyDescent="0.3">
      <c r="A21" s="2" t="s">
        <v>45</v>
      </c>
      <c r="B21" s="2" t="s">
        <v>35</v>
      </c>
      <c r="C21" s="2">
        <v>11</v>
      </c>
      <c r="D21" s="3" t="s">
        <v>4</v>
      </c>
      <c r="E21" s="4">
        <v>1314535</v>
      </c>
      <c r="F21" s="4">
        <v>0</v>
      </c>
      <c r="G21" s="4">
        <v>101149</v>
      </c>
      <c r="H21" s="4">
        <v>0</v>
      </c>
      <c r="I21" s="4">
        <v>1415684</v>
      </c>
      <c r="J21" s="4">
        <v>30</v>
      </c>
      <c r="K21" s="4" t="s">
        <v>4</v>
      </c>
      <c r="L21" s="5" t="s">
        <v>42</v>
      </c>
      <c r="M21" s="18"/>
      <c r="N21" s="6" t="str">
        <f t="shared" ref="N21:N29" si="23">IF(ROUND(M21,3)=0,"",ROUND(M21,3)+0.39)</f>
        <v/>
      </c>
      <c r="O21" s="18"/>
      <c r="P21" s="6" t="str">
        <f t="shared" ref="P21:P29" si="24">IF(ROUND(O21,3)=0,"",ROUND(O21,3)+0.39)</f>
        <v/>
      </c>
      <c r="Q21" s="19"/>
      <c r="R21" s="7" t="str">
        <f t="shared" si="9"/>
        <v/>
      </c>
      <c r="S21" s="8">
        <v>56.37</v>
      </c>
      <c r="T21" s="7">
        <f t="shared" si="10"/>
        <v>18602.099999999999</v>
      </c>
      <c r="U21" s="8">
        <v>4.6020000000000003</v>
      </c>
      <c r="V21" s="7">
        <f t="shared" si="11"/>
        <v>65149.78</v>
      </c>
      <c r="W21" s="7">
        <f t="shared" si="12"/>
        <v>83751.88</v>
      </c>
      <c r="X21" s="7" t="str">
        <f t="shared" si="13"/>
        <v/>
      </c>
      <c r="Y21" s="7" t="str">
        <f t="shared" si="14"/>
        <v/>
      </c>
      <c r="Z21" s="15">
        <f>23%</f>
        <v>0.23</v>
      </c>
      <c r="AA21" s="14" t="s">
        <v>53</v>
      </c>
      <c r="AB21" s="14" t="s">
        <v>31</v>
      </c>
    </row>
    <row r="22" spans="1:28" ht="16.2" customHeight="1" x14ac:dyDescent="0.3">
      <c r="A22" s="2" t="s">
        <v>51</v>
      </c>
      <c r="B22" s="2" t="s">
        <v>35</v>
      </c>
      <c r="C22" s="2">
        <v>1</v>
      </c>
      <c r="D22" s="3" t="s">
        <v>4</v>
      </c>
      <c r="E22" s="4">
        <v>112000</v>
      </c>
      <c r="F22" s="4">
        <v>0</v>
      </c>
      <c r="G22" s="4">
        <v>0</v>
      </c>
      <c r="H22" s="4">
        <v>0</v>
      </c>
      <c r="I22" s="4">
        <v>112000</v>
      </c>
      <c r="J22" s="4">
        <v>30</v>
      </c>
      <c r="K22" s="4" t="s">
        <v>4</v>
      </c>
      <c r="L22" s="5" t="s">
        <v>42</v>
      </c>
      <c r="M22" s="18"/>
      <c r="N22" s="6" t="str">
        <f t="shared" si="23"/>
        <v/>
      </c>
      <c r="O22" s="18"/>
      <c r="P22" s="6" t="str">
        <f t="shared" si="24"/>
        <v/>
      </c>
      <c r="Q22" s="19"/>
      <c r="R22" s="7" t="str">
        <f t="shared" si="9"/>
        <v/>
      </c>
      <c r="S22" s="8">
        <v>60.55</v>
      </c>
      <c r="T22" s="7">
        <f t="shared" si="10"/>
        <v>1816.5</v>
      </c>
      <c r="U22" s="8">
        <v>4.6020000000000003</v>
      </c>
      <c r="V22" s="7">
        <f t="shared" si="11"/>
        <v>5154.24</v>
      </c>
      <c r="W22" s="7">
        <f t="shared" si="12"/>
        <v>6970.74</v>
      </c>
      <c r="X22" s="7" t="str">
        <f t="shared" si="13"/>
        <v/>
      </c>
      <c r="Y22" s="7" t="str">
        <f t="shared" si="14"/>
        <v/>
      </c>
      <c r="Z22" s="15">
        <f>23%</f>
        <v>0.23</v>
      </c>
      <c r="AA22" s="14" t="s">
        <v>53</v>
      </c>
      <c r="AB22" s="14" t="s">
        <v>31</v>
      </c>
    </row>
    <row r="23" spans="1:28" ht="16.2" customHeight="1" x14ac:dyDescent="0.3">
      <c r="A23" s="2" t="s">
        <v>47</v>
      </c>
      <c r="B23" s="2" t="s">
        <v>46</v>
      </c>
      <c r="C23" s="2">
        <v>2</v>
      </c>
      <c r="D23" s="3" t="s">
        <v>4</v>
      </c>
      <c r="E23" s="4">
        <v>153657</v>
      </c>
      <c r="F23" s="4">
        <v>0</v>
      </c>
      <c r="G23" s="4">
        <v>112473</v>
      </c>
      <c r="H23" s="4">
        <v>0</v>
      </c>
      <c r="I23" s="4">
        <v>266130</v>
      </c>
      <c r="J23" s="4">
        <v>12</v>
      </c>
      <c r="K23" s="4" t="s">
        <v>4</v>
      </c>
      <c r="L23" s="5" t="s">
        <v>42</v>
      </c>
      <c r="M23" s="18"/>
      <c r="N23" s="6" t="str">
        <f t="shared" si="23"/>
        <v/>
      </c>
      <c r="O23" s="18"/>
      <c r="P23" s="6" t="str">
        <f t="shared" si="24"/>
        <v/>
      </c>
      <c r="Q23" s="19"/>
      <c r="R23" s="7" t="str">
        <f t="shared" si="9"/>
        <v/>
      </c>
      <c r="S23" s="8">
        <v>314.86</v>
      </c>
      <c r="T23" s="7">
        <f t="shared" si="10"/>
        <v>7556.64</v>
      </c>
      <c r="U23" s="8">
        <v>4.5090000000000003</v>
      </c>
      <c r="V23" s="7">
        <f t="shared" si="11"/>
        <v>11999.8</v>
      </c>
      <c r="W23" s="7">
        <f t="shared" si="12"/>
        <v>19556.439999999999</v>
      </c>
      <c r="X23" s="7" t="str">
        <f t="shared" si="13"/>
        <v/>
      </c>
      <c r="Y23" s="7" t="str">
        <f t="shared" si="14"/>
        <v/>
      </c>
      <c r="Z23" s="15">
        <f>23%</f>
        <v>0.23</v>
      </c>
      <c r="AA23" s="14" t="s">
        <v>54</v>
      </c>
      <c r="AB23" s="14" t="s">
        <v>31</v>
      </c>
    </row>
    <row r="24" spans="1:28" ht="16.2" customHeight="1" x14ac:dyDescent="0.3">
      <c r="A24" s="2" t="s">
        <v>47</v>
      </c>
      <c r="B24" s="2" t="s">
        <v>46</v>
      </c>
      <c r="C24" s="2">
        <v>13</v>
      </c>
      <c r="D24" s="3" t="s">
        <v>4</v>
      </c>
      <c r="E24" s="4">
        <v>2756015</v>
      </c>
      <c r="F24" s="4">
        <v>0</v>
      </c>
      <c r="G24" s="4">
        <v>757219</v>
      </c>
      <c r="H24" s="4">
        <v>0</v>
      </c>
      <c r="I24" s="4">
        <v>3513234</v>
      </c>
      <c r="J24" s="4">
        <v>24</v>
      </c>
      <c r="K24" s="4" t="s">
        <v>4</v>
      </c>
      <c r="L24" s="5" t="s">
        <v>42</v>
      </c>
      <c r="M24" s="18"/>
      <c r="N24" s="6" t="str">
        <f t="shared" si="23"/>
        <v/>
      </c>
      <c r="O24" s="18"/>
      <c r="P24" s="6" t="str">
        <f t="shared" si="24"/>
        <v/>
      </c>
      <c r="Q24" s="19"/>
      <c r="R24" s="7" t="str">
        <f t="shared" ref="R24:R25" si="25">IFERROR(IF(ROUND(M24,3)&gt;0,ROUND(E24*ROUND(M24,3)/100+F24*N24/100
+G24*ROUND(O24,3)/100+H24*P24/100
+ROUND(Q24,2)*J24*C24,2),""),"")</f>
        <v/>
      </c>
      <c r="S24" s="8">
        <v>314.86</v>
      </c>
      <c r="T24" s="7">
        <f t="shared" ref="T24:T25" si="26">ROUND(IF(D24="nd.",C24*S24*J24,(K24*24*D24*S24)/100),2)</f>
        <v>98236.32</v>
      </c>
      <c r="U24" s="8">
        <v>4.5090000000000003</v>
      </c>
      <c r="V24" s="7">
        <f t="shared" ref="V24:V25" si="27">ROUND(U24*I24/100,2)</f>
        <v>158411.72</v>
      </c>
      <c r="W24" s="7">
        <f t="shared" ref="W24:W25" si="28">T24+V24</f>
        <v>256648.04</v>
      </c>
      <c r="X24" s="7" t="str">
        <f t="shared" ref="X24:X25" si="29">IF(M24&gt;0,R24+W24,"")</f>
        <v/>
      </c>
      <c r="Y24" s="7" t="str">
        <f t="shared" ref="Y24:Y25" si="30">IF(M24&gt;0,ROUND(X24*(1+Z24),2),"")</f>
        <v/>
      </c>
      <c r="Z24" s="15">
        <f>23%</f>
        <v>0.23</v>
      </c>
      <c r="AA24" s="14" t="s">
        <v>52</v>
      </c>
      <c r="AB24" s="14" t="s">
        <v>31</v>
      </c>
    </row>
    <row r="25" spans="1:28" ht="16.2" customHeight="1" x14ac:dyDescent="0.3">
      <c r="A25" s="2" t="s">
        <v>47</v>
      </c>
      <c r="B25" s="2" t="s">
        <v>46</v>
      </c>
      <c r="C25" s="2">
        <v>1</v>
      </c>
      <c r="D25" s="3" t="s">
        <v>4</v>
      </c>
      <c r="E25" s="4">
        <v>616377</v>
      </c>
      <c r="F25" s="4">
        <v>0</v>
      </c>
      <c r="G25" s="4">
        <v>0</v>
      </c>
      <c r="H25" s="4">
        <v>0</v>
      </c>
      <c r="I25" s="4">
        <v>616377</v>
      </c>
      <c r="J25" s="4">
        <v>30</v>
      </c>
      <c r="K25" s="4" t="s">
        <v>4</v>
      </c>
      <c r="L25" s="5" t="s">
        <v>42</v>
      </c>
      <c r="M25" s="18"/>
      <c r="N25" s="6" t="str">
        <f t="shared" si="23"/>
        <v/>
      </c>
      <c r="O25" s="18"/>
      <c r="P25" s="6" t="str">
        <f t="shared" si="24"/>
        <v/>
      </c>
      <c r="Q25" s="19"/>
      <c r="R25" s="7" t="str">
        <f t="shared" si="25"/>
        <v/>
      </c>
      <c r="S25" s="8">
        <v>314.86</v>
      </c>
      <c r="T25" s="7">
        <f t="shared" si="26"/>
        <v>9445.7999999999993</v>
      </c>
      <c r="U25" s="8">
        <v>4.5090000000000003</v>
      </c>
      <c r="V25" s="7">
        <f t="shared" si="27"/>
        <v>27792.44</v>
      </c>
      <c r="W25" s="7">
        <f t="shared" si="28"/>
        <v>37238.239999999998</v>
      </c>
      <c r="X25" s="7" t="str">
        <f t="shared" si="29"/>
        <v/>
      </c>
      <c r="Y25" s="7" t="str">
        <f t="shared" si="30"/>
        <v/>
      </c>
      <c r="Z25" s="15">
        <f>23%</f>
        <v>0.23</v>
      </c>
      <c r="AA25" s="14" t="s">
        <v>53</v>
      </c>
      <c r="AB25" s="14" t="s">
        <v>31</v>
      </c>
    </row>
    <row r="26" spans="1:28" ht="16.2" customHeight="1" x14ac:dyDescent="0.3">
      <c r="A26" s="2" t="s">
        <v>48</v>
      </c>
      <c r="B26" s="2" t="s">
        <v>34</v>
      </c>
      <c r="C26" s="2">
        <v>34</v>
      </c>
      <c r="D26" s="3">
        <v>8681</v>
      </c>
      <c r="E26" s="4">
        <v>26716306</v>
      </c>
      <c r="F26" s="4">
        <v>0</v>
      </c>
      <c r="G26" s="4">
        <v>311798</v>
      </c>
      <c r="H26" s="4">
        <v>0</v>
      </c>
      <c r="I26" s="4">
        <v>27028104</v>
      </c>
      <c r="J26" s="4">
        <v>24</v>
      </c>
      <c r="K26" s="4">
        <v>730</v>
      </c>
      <c r="L26" s="5" t="s">
        <v>42</v>
      </c>
      <c r="M26" s="18"/>
      <c r="N26" s="6" t="str">
        <f t="shared" si="23"/>
        <v/>
      </c>
      <c r="O26" s="18"/>
      <c r="P26" s="6" t="str">
        <f t="shared" si="24"/>
        <v/>
      </c>
      <c r="Q26" s="19"/>
      <c r="R26" s="7" t="str">
        <f t="shared" si="9"/>
        <v/>
      </c>
      <c r="S26" s="8">
        <v>0.81599999999999995</v>
      </c>
      <c r="T26" s="7">
        <f t="shared" si="10"/>
        <v>1241063.54</v>
      </c>
      <c r="U26" s="8">
        <v>4.0890000000000004</v>
      </c>
      <c r="V26" s="7">
        <f t="shared" si="11"/>
        <v>1105179.17</v>
      </c>
      <c r="W26" s="7">
        <f t="shared" si="12"/>
        <v>2346242.71</v>
      </c>
      <c r="X26" s="7" t="str">
        <f t="shared" si="13"/>
        <v/>
      </c>
      <c r="Y26" s="7" t="str">
        <f t="shared" si="14"/>
        <v/>
      </c>
      <c r="Z26" s="15">
        <f>23%</f>
        <v>0.23</v>
      </c>
      <c r="AA26" s="14" t="s">
        <v>52</v>
      </c>
      <c r="AB26" s="14" t="s">
        <v>31</v>
      </c>
    </row>
    <row r="27" spans="1:28" ht="16.2" customHeight="1" x14ac:dyDescent="0.3">
      <c r="A27" s="2" t="s">
        <v>48</v>
      </c>
      <c r="B27" s="2" t="s">
        <v>34</v>
      </c>
      <c r="C27" s="2">
        <v>11</v>
      </c>
      <c r="D27" s="3">
        <v>2463</v>
      </c>
      <c r="E27" s="4">
        <v>6271614</v>
      </c>
      <c r="F27" s="4">
        <v>0</v>
      </c>
      <c r="G27" s="4">
        <v>250783</v>
      </c>
      <c r="H27" s="4">
        <v>0</v>
      </c>
      <c r="I27" s="4">
        <v>6522397</v>
      </c>
      <c r="J27" s="4">
        <v>30</v>
      </c>
      <c r="K27" s="4">
        <v>914</v>
      </c>
      <c r="L27" s="5" t="s">
        <v>42</v>
      </c>
      <c r="M27" s="18"/>
      <c r="N27" s="6" t="str">
        <f t="shared" si="23"/>
        <v/>
      </c>
      <c r="O27" s="18"/>
      <c r="P27" s="6" t="str">
        <f t="shared" si="24"/>
        <v/>
      </c>
      <c r="Q27" s="19"/>
      <c r="R27" s="7" t="str">
        <f t="shared" si="9"/>
        <v/>
      </c>
      <c r="S27" s="8">
        <v>0.81599999999999995</v>
      </c>
      <c r="T27" s="7">
        <f t="shared" si="10"/>
        <v>440871.48</v>
      </c>
      <c r="U27" s="8">
        <v>4.0890000000000004</v>
      </c>
      <c r="V27" s="7">
        <f t="shared" si="11"/>
        <v>266700.81</v>
      </c>
      <c r="W27" s="7">
        <f t="shared" si="12"/>
        <v>707572.29</v>
      </c>
      <c r="X27" s="7" t="str">
        <f t="shared" si="13"/>
        <v/>
      </c>
      <c r="Y27" s="7" t="str">
        <f t="shared" si="14"/>
        <v/>
      </c>
      <c r="Z27" s="15">
        <f>23%</f>
        <v>0.23</v>
      </c>
      <c r="AA27" s="14" t="s">
        <v>53</v>
      </c>
      <c r="AB27" s="14" t="s">
        <v>31</v>
      </c>
    </row>
    <row r="28" spans="1:28" ht="16.2" customHeight="1" x14ac:dyDescent="0.3">
      <c r="A28" s="2" t="s">
        <v>49</v>
      </c>
      <c r="B28" s="2" t="s">
        <v>55</v>
      </c>
      <c r="C28" s="2">
        <v>1</v>
      </c>
      <c r="D28" s="3">
        <v>2194</v>
      </c>
      <c r="E28" s="4">
        <v>9165740</v>
      </c>
      <c r="F28" s="4">
        <v>0</v>
      </c>
      <c r="G28" s="4">
        <v>859132</v>
      </c>
      <c r="H28" s="4">
        <v>0</v>
      </c>
      <c r="I28" s="4">
        <v>10024872</v>
      </c>
      <c r="J28" s="4">
        <v>24</v>
      </c>
      <c r="K28" s="4">
        <v>730</v>
      </c>
      <c r="L28" s="5" t="s">
        <v>42</v>
      </c>
      <c r="M28" s="18"/>
      <c r="N28" s="6" t="str">
        <f t="shared" si="23"/>
        <v/>
      </c>
      <c r="O28" s="18"/>
      <c r="P28" s="6" t="str">
        <f t="shared" si="24"/>
        <v/>
      </c>
      <c r="Q28" s="19"/>
      <c r="R28" s="7" t="str">
        <f t="shared" ref="R28" si="31">IFERROR(IF(ROUND(M28,3)&gt;0,ROUND(E28*ROUND(M28,3)/100+F28*N28/100
+G28*ROUND(O28,3)/100+H28*P28/100
+ROUND(Q28,2)*J28*C28,2),""),"")</f>
        <v/>
      </c>
      <c r="S28" s="8">
        <v>0.75</v>
      </c>
      <c r="T28" s="7">
        <f t="shared" ref="T28" si="32">ROUND(IF(D28="nd.",C28*S28*J28,(K28*24*D28*S28)/100),2)</f>
        <v>288291.59999999998</v>
      </c>
      <c r="U28" s="8">
        <v>3.8519999999999999</v>
      </c>
      <c r="V28" s="7">
        <f t="shared" ref="V28" si="33">ROUND(U28*I28/100,2)</f>
        <v>386158.07</v>
      </c>
      <c r="W28" s="7">
        <f t="shared" ref="W28" si="34">T28+V28</f>
        <v>674449.66999999993</v>
      </c>
      <c r="X28" s="7" t="str">
        <f t="shared" ref="X28" si="35">IF(M28&gt;0,R28+W28,"")</f>
        <v/>
      </c>
      <c r="Y28" s="7" t="str">
        <f t="shared" ref="Y28" si="36">IF(M28&gt;0,ROUND(X28*(1+Z28),2),"")</f>
        <v/>
      </c>
      <c r="Z28" s="15">
        <f>23%</f>
        <v>0.23</v>
      </c>
      <c r="AA28" s="14" t="s">
        <v>52</v>
      </c>
      <c r="AB28" s="14" t="s">
        <v>31</v>
      </c>
    </row>
    <row r="29" spans="1:28" ht="16.2" customHeight="1" x14ac:dyDescent="0.3">
      <c r="A29" s="2" t="s">
        <v>49</v>
      </c>
      <c r="B29" s="2" t="s">
        <v>55</v>
      </c>
      <c r="C29" s="2">
        <v>1</v>
      </c>
      <c r="D29" s="3">
        <v>711</v>
      </c>
      <c r="E29" s="4">
        <v>2961950</v>
      </c>
      <c r="F29" s="4">
        <v>0</v>
      </c>
      <c r="G29" s="4">
        <v>0</v>
      </c>
      <c r="H29" s="4">
        <v>0</v>
      </c>
      <c r="I29" s="4">
        <v>2961950</v>
      </c>
      <c r="J29" s="4">
        <v>30</v>
      </c>
      <c r="K29" s="4">
        <v>914</v>
      </c>
      <c r="L29" s="5" t="s">
        <v>42</v>
      </c>
      <c r="M29" s="18"/>
      <c r="N29" s="6" t="str">
        <f t="shared" si="23"/>
        <v/>
      </c>
      <c r="O29" s="18"/>
      <c r="P29" s="6" t="str">
        <f t="shared" si="24"/>
        <v/>
      </c>
      <c r="Q29" s="19"/>
      <c r="R29" s="7" t="str">
        <f t="shared" si="9"/>
        <v/>
      </c>
      <c r="S29" s="8">
        <v>0.75</v>
      </c>
      <c r="T29" s="7">
        <f t="shared" si="10"/>
        <v>116973.72</v>
      </c>
      <c r="U29" s="8">
        <v>3.8519999999999999</v>
      </c>
      <c r="V29" s="7">
        <f t="shared" si="11"/>
        <v>114094.31</v>
      </c>
      <c r="W29" s="7">
        <f t="shared" si="12"/>
        <v>231068.03</v>
      </c>
      <c r="X29" s="7" t="str">
        <f t="shared" si="13"/>
        <v/>
      </c>
      <c r="Y29" s="7" t="str">
        <f t="shared" si="14"/>
        <v/>
      </c>
      <c r="Z29" s="15">
        <f>23%</f>
        <v>0.23</v>
      </c>
      <c r="AA29" s="14" t="s">
        <v>53</v>
      </c>
      <c r="AB29" s="14" t="s">
        <v>31</v>
      </c>
    </row>
    <row r="30" spans="1:28" ht="22.2" customHeight="1" x14ac:dyDescent="0.3">
      <c r="H30" s="11" t="s">
        <v>5</v>
      </c>
      <c r="I30" s="21">
        <f>SUM(I5:I29)</f>
        <v>63914642</v>
      </c>
      <c r="W30" s="20" t="s">
        <v>5</v>
      </c>
      <c r="X30" s="20" t="str">
        <f>IF(SUM(X5:X29)&gt;0,SUM(X5:X29),"")</f>
        <v/>
      </c>
      <c r="Y30" s="20" t="str">
        <f>IF(SUM(Y5:Y29)&gt;0,SUM(Y5:Y29),"")</f>
        <v/>
      </c>
    </row>
    <row r="31" spans="1:28" ht="22.2" customHeight="1" x14ac:dyDescent="0.3">
      <c r="W31" s="11"/>
      <c r="X31" s="20"/>
      <c r="Y31" s="20"/>
    </row>
    <row r="32" spans="1:28" ht="41.4" customHeight="1" x14ac:dyDescent="0.3">
      <c r="A32" s="22" t="s">
        <v>32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 ht="37.799999999999997" customHeight="1" x14ac:dyDescent="0.3">
      <c r="A33" s="22" t="s">
        <v>37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7" spans="1:14" ht="15.6" customHeight="1" x14ac:dyDescent="0.3"/>
    <row r="38" spans="1:14" ht="15.6" customHeight="1" x14ac:dyDescent="0.3"/>
    <row r="58" spans="15:15" x14ac:dyDescent="0.3">
      <c r="O58" s="10"/>
    </row>
  </sheetData>
  <sheetProtection algorithmName="SHA-512" hashValue="J1KxVB+uPsKvKwYyspydWKg4D1tGq01XW+dOA/JQA33iH+VXvzYSBEaQqQ6DTX/0fm0BFVtAsSu8ehph8KrrJA==" saltValue="/xmaszNE94UNYeZaWkZcBg==" spinCount="100000" sheet="1" objects="1" scenarios="1"/>
  <protectedRanges>
    <protectedRange sqref="M5:M29" name="Rozstęp3"/>
    <protectedRange sqref="O5:O29" name="Rozstęp1"/>
    <protectedRange sqref="Q5:Q29" name="Rozstęp2"/>
  </protectedRanges>
  <autoFilter ref="A4:AB30" xr:uid="{00000000-0001-0000-0000-000000000000}"/>
  <mergeCells count="17">
    <mergeCell ref="A1:AB1"/>
    <mergeCell ref="S2:W2"/>
    <mergeCell ref="A2:A3"/>
    <mergeCell ref="B2:B3"/>
    <mergeCell ref="C2:C3"/>
    <mergeCell ref="I2:I3"/>
    <mergeCell ref="J2:J3"/>
    <mergeCell ref="K2:K3"/>
    <mergeCell ref="L2:L3"/>
    <mergeCell ref="A32:N32"/>
    <mergeCell ref="A33:N33"/>
    <mergeCell ref="D2:D3"/>
    <mergeCell ref="E2:E3"/>
    <mergeCell ref="F2:F3"/>
    <mergeCell ref="G2:G3"/>
    <mergeCell ref="H2:H3"/>
    <mergeCell ref="M2:R2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82EC11BA18C448CE8522BB20C4811" ma:contentTypeVersion="13" ma:contentTypeDescription="Utwórz nowy dokument." ma:contentTypeScope="" ma:versionID="7aaca84b31fe405ad4b2a1b14d6adcc1">
  <xsd:schema xmlns:xsd="http://www.w3.org/2001/XMLSchema" xmlns:xs="http://www.w3.org/2001/XMLSchema" xmlns:p="http://schemas.microsoft.com/office/2006/metadata/properties" xmlns:ns2="cf92b6ff-5ccf-4221-9bd9-e608a8edb1c8" xmlns:ns3="4f8922f6-52d8-41f5-8280-a02dec670c3a" targetNamespace="http://schemas.microsoft.com/office/2006/metadata/properties" ma:root="true" ma:fieldsID="aaf7e9d91db8cbc3204f095e7aac2c08" ns2:_="" ns3:_="">
    <xsd:import namespace="cf92b6ff-5ccf-4221-9bd9-e608a8edb1c8"/>
    <xsd:import namespace="4f8922f6-52d8-41f5-8280-a02dec670c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2b6ff-5ccf-4221-9bd9-e608a8edb1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dexed="true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93ba590d-bb1a-499f-a1fa-34c69ff2d4c2}" ma:internalName="TaxCatchAll" ma:showField="CatchAllData" ma:web="cf92b6ff-5ccf-4221-9bd9-e608a8edb1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922f6-52d8-41f5-8280-a02dec670c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7199deaf-0469-4724-8369-35b7c4c9d4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8922f6-52d8-41f5-8280-a02dec670c3a">
      <Terms xmlns="http://schemas.microsoft.com/office/infopath/2007/PartnerControls"/>
    </lcf76f155ced4ddcb4097134ff3c332f>
    <TaxCatchAll xmlns="cf92b6ff-5ccf-4221-9bd9-e608a8edb1c8" xsi:nil="true"/>
    <_dlc_DocId xmlns="cf92b6ff-5ccf-4221-9bd9-e608a8edb1c8">UCR76KNYMX3U-1951954605-620796</_dlc_DocId>
    <_dlc_DocIdUrl xmlns="cf92b6ff-5ccf-4221-9bd9-e608a8edb1c8">
      <Url>https://plnewpower.sharepoint.com/sites/wspolny/_layouts/15/DocIdRedir.aspx?ID=UCR76KNYMX3U-1951954605-620796</Url>
      <Description>UCR76KNYMX3U-1951954605-620796</Description>
    </_dlc_DocIdUrl>
  </documentManagement>
</p:properties>
</file>

<file path=customXml/itemProps1.xml><?xml version="1.0" encoding="utf-8"?>
<ds:datastoreItem xmlns:ds="http://schemas.openxmlformats.org/officeDocument/2006/customXml" ds:itemID="{3917F92D-A7DE-4C4C-B480-B5EEC3E20C5A}"/>
</file>

<file path=customXml/itemProps2.xml><?xml version="1.0" encoding="utf-8"?>
<ds:datastoreItem xmlns:ds="http://schemas.openxmlformats.org/officeDocument/2006/customXml" ds:itemID="{48A51026-B7E6-421E-A723-1A18314C599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3847164-E3B3-4EBF-9A82-7F8DF641AD7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6B7743C-1F7E-429B-B8EA-8ECC6A16D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Krzysztof Targoński</cp:lastModifiedBy>
  <cp:lastPrinted>2025-02-17T12:18:37Z</cp:lastPrinted>
  <dcterms:created xsi:type="dcterms:W3CDTF">2015-06-05T18:19:34Z</dcterms:created>
  <dcterms:modified xsi:type="dcterms:W3CDTF">2025-04-16T13:55:45Z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0x01010077782EC11BA18C448CE8522BB20C4811</vt:lpwstr>
  </property>
  <property fmtid="{D5CDD505-2E9C-101B-9397-08002B2CF9AE}" pid="3" name="_dlc_DocIdItemGuid">
    <vt:lpwstr>fbf7c11a-8f8b-4afe-a107-91050b9a5e89</vt:lpwstr>
  </property>
</Properties>
</file>