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D:\E 2020.03.13\GZ Zamość\gaz † przetarg\"/>
    </mc:Choice>
  </mc:AlternateContent>
  <xr:revisionPtr revIDLastSave="0" documentId="13_ncr:1_{A6842A8B-B7A6-408B-8116-12DF7B995B7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Arkusz1" sheetId="1" r:id="rId1"/>
  </sheets>
  <definedNames>
    <definedName name="_xlnm._FilterDatabase" localSheetId="0" hidden="1">Arkusz1!$A$4:$AB$23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18" i="1" l="1"/>
  <c r="V18" i="1"/>
  <c r="Z18" i="1"/>
  <c r="P18" i="1"/>
  <c r="N18" i="1"/>
  <c r="AB4" i="1"/>
  <c r="Z19" i="1"/>
  <c r="Z17" i="1"/>
  <c r="Z16" i="1"/>
  <c r="Z15" i="1"/>
  <c r="Z14" i="1"/>
  <c r="Z13" i="1"/>
  <c r="Z12" i="1"/>
  <c r="Z11" i="1"/>
  <c r="Z10" i="1"/>
  <c r="Z9" i="1"/>
  <c r="Z8" i="1"/>
  <c r="Z7" i="1"/>
  <c r="Z6" i="1"/>
  <c r="Z5" i="1"/>
  <c r="P19" i="1"/>
  <c r="N19" i="1"/>
  <c r="V19" i="1"/>
  <c r="V17" i="1"/>
  <c r="P17" i="1"/>
  <c r="N17" i="1"/>
  <c r="P16" i="1"/>
  <c r="N16" i="1"/>
  <c r="R16" i="1" s="1"/>
  <c r="P15" i="1"/>
  <c r="N15" i="1"/>
  <c r="P14" i="1"/>
  <c r="N14" i="1"/>
  <c r="R14" i="1" s="1"/>
  <c r="V14" i="1"/>
  <c r="V13" i="1"/>
  <c r="P13" i="1"/>
  <c r="N13" i="1"/>
  <c r="P12" i="1"/>
  <c r="N12" i="1"/>
  <c r="P11" i="1"/>
  <c r="N11" i="1"/>
  <c r="P10" i="1"/>
  <c r="N10" i="1"/>
  <c r="V10" i="1"/>
  <c r="V9" i="1"/>
  <c r="P9" i="1"/>
  <c r="N9" i="1"/>
  <c r="P8" i="1"/>
  <c r="N8" i="1"/>
  <c r="P7" i="1"/>
  <c r="N7" i="1"/>
  <c r="P6" i="1"/>
  <c r="N6" i="1"/>
  <c r="V6" i="1"/>
  <c r="V5" i="1"/>
  <c r="P5" i="1"/>
  <c r="N5" i="1"/>
  <c r="AA4" i="1"/>
  <c r="Z4" i="1"/>
  <c r="Y4" i="1"/>
  <c r="X4" i="1"/>
  <c r="W4" i="1"/>
  <c r="V4" i="1"/>
  <c r="U4" i="1"/>
  <c r="T4" i="1"/>
  <c r="S4" i="1"/>
  <c r="R4" i="1"/>
  <c r="Q4" i="1"/>
  <c r="P4" i="1"/>
  <c r="O4" i="1"/>
  <c r="N4" i="1"/>
  <c r="M4" i="1"/>
  <c r="L4" i="1"/>
  <c r="K4" i="1"/>
  <c r="J4" i="1"/>
  <c r="I4" i="1"/>
  <c r="H4" i="1"/>
  <c r="G4" i="1"/>
  <c r="F4" i="1"/>
  <c r="E4" i="1"/>
  <c r="D4" i="1"/>
  <c r="C4" i="1"/>
  <c r="B4" i="1"/>
  <c r="A4" i="1"/>
  <c r="R10" i="1" l="1"/>
  <c r="R15" i="1"/>
  <c r="R7" i="1"/>
  <c r="R9" i="1"/>
  <c r="R17" i="1"/>
  <c r="R19" i="1"/>
  <c r="R5" i="1"/>
  <c r="R18" i="1"/>
  <c r="X18" i="1" s="1"/>
  <c r="Y18" i="1" s="1"/>
  <c r="R13" i="1"/>
  <c r="W18" i="1"/>
  <c r="R12" i="1"/>
  <c r="R6" i="1"/>
  <c r="R8" i="1"/>
  <c r="R11" i="1"/>
  <c r="T7" i="1"/>
  <c r="T11" i="1"/>
  <c r="T15" i="1"/>
  <c r="T6" i="1"/>
  <c r="W6" i="1" s="1"/>
  <c r="V8" i="1"/>
  <c r="T10" i="1"/>
  <c r="W10" i="1" s="1"/>
  <c r="X10" i="1" s="1"/>
  <c r="Y10" i="1" s="1"/>
  <c r="V12" i="1"/>
  <c r="T14" i="1"/>
  <c r="W14" i="1" s="1"/>
  <c r="X14" i="1" s="1"/>
  <c r="Y14" i="1" s="1"/>
  <c r="V16" i="1"/>
  <c r="T19" i="1"/>
  <c r="W19" i="1" s="1"/>
  <c r="T5" i="1"/>
  <c r="W5" i="1" s="1"/>
  <c r="V7" i="1"/>
  <c r="T8" i="1"/>
  <c r="W8" i="1" s="1"/>
  <c r="T9" i="1"/>
  <c r="W9" i="1" s="1"/>
  <c r="X9" i="1" s="1"/>
  <c r="Y9" i="1" s="1"/>
  <c r="V11" i="1"/>
  <c r="T12" i="1"/>
  <c r="T13" i="1"/>
  <c r="W13" i="1" s="1"/>
  <c r="V15" i="1"/>
  <c r="T16" i="1"/>
  <c r="W16" i="1" s="1"/>
  <c r="X16" i="1" s="1"/>
  <c r="Y16" i="1" s="1"/>
  <c r="T17" i="1"/>
  <c r="W17" i="1" s="1"/>
  <c r="X17" i="1" s="1"/>
  <c r="Y17" i="1" s="1"/>
  <c r="X5" i="1" l="1"/>
  <c r="X13" i="1"/>
  <c r="Y13" i="1" s="1"/>
  <c r="X19" i="1"/>
  <c r="Y19" i="1" s="1"/>
  <c r="X8" i="1"/>
  <c r="Y8" i="1" s="1"/>
  <c r="X6" i="1"/>
  <c r="Y6" i="1" s="1"/>
  <c r="W12" i="1"/>
  <c r="X12" i="1" s="1"/>
  <c r="Y12" i="1" s="1"/>
  <c r="W15" i="1"/>
  <c r="X15" i="1" s="1"/>
  <c r="Y15" i="1" s="1"/>
  <c r="W11" i="1"/>
  <c r="X11" i="1" s="1"/>
  <c r="Y11" i="1" s="1"/>
  <c r="W7" i="1"/>
  <c r="X7" i="1" s="1"/>
  <c r="Y7" i="1" s="1"/>
  <c r="Y5" i="1"/>
  <c r="X20" i="1" l="1"/>
  <c r="Y20" i="1"/>
</calcChain>
</file>

<file path=xl/sharedStrings.xml><?xml version="1.0" encoding="utf-8"?>
<sst xmlns="http://schemas.openxmlformats.org/spreadsheetml/2006/main" count="138" uniqueCount="59">
  <si>
    <t>Liczba punktów poboru</t>
  </si>
  <si>
    <t>Liczba miesięcy</t>
  </si>
  <si>
    <t>Liczba dni</t>
  </si>
  <si>
    <t>Oddział dystrybucji</t>
  </si>
  <si>
    <t>nd.</t>
  </si>
  <si>
    <t>SUMA:</t>
  </si>
  <si>
    <r>
      <t xml:space="preserve">Stawka opłaty zmiennej 
</t>
    </r>
    <r>
      <rPr>
        <sz val="9"/>
        <rFont val="Calibri"/>
        <family val="2"/>
        <charset val="238"/>
        <scheme val="minor"/>
      </rPr>
      <t>[gr/kWh]</t>
    </r>
  </si>
  <si>
    <r>
      <t xml:space="preserve">Moc umowna
</t>
    </r>
    <r>
      <rPr>
        <sz val="9"/>
        <rFont val="Calibri"/>
        <family val="2"/>
        <charset val="238"/>
        <scheme val="minor"/>
      </rPr>
      <t>[kWh/h]</t>
    </r>
  </si>
  <si>
    <r>
      <rPr>
        <b/>
        <sz val="9"/>
        <rFont val="Calibri"/>
        <family val="2"/>
        <charset val="238"/>
        <scheme val="minor"/>
      </rPr>
      <t>Szacunkowe zapotrzebowanie na paliwo gazowe łącznie</t>
    </r>
    <r>
      <rPr>
        <sz val="9"/>
        <rFont val="Calibri"/>
        <family val="2"/>
        <charset val="238"/>
        <scheme val="minor"/>
      </rPr>
      <t xml:space="preserve"> 
[kWh]</t>
    </r>
  </si>
  <si>
    <t>Cena za paliwo gazowe [zł netto]</t>
  </si>
  <si>
    <t>Cena za usługi dystrybucyjne [zł netto]**</t>
  </si>
  <si>
    <t>CENA OFERTY 
[zł netto]</t>
  </si>
  <si>
    <t>CENA OFERTY 
[zł brutto]</t>
  </si>
  <si>
    <t>PSG Sp. z o.o. - Tarnów</t>
  </si>
  <si>
    <t>W-3.6_TA</t>
  </si>
  <si>
    <t>W-4_TA</t>
  </si>
  <si>
    <t>W-5.1_TA</t>
  </si>
  <si>
    <t>Załącznik nr 3 do SWZ - Formularz cenowy</t>
  </si>
  <si>
    <t>W-1.1_TA</t>
  </si>
  <si>
    <t>W-2.1_TA</t>
  </si>
  <si>
    <r>
      <t xml:space="preserve">*Stawkę podatku akcyzowego 1,38 zł/GJ, która ma zastosowanie dla części zużycia paliwa gazowego przeznaczonej na cele opałowe (z wyłączeniem celów objętych zwolnieniem), przeliczono na gr/kWh zgodnie z obowiązującymi zasadami [Art. 89 ust. 1 pkt 13 oraz Art. 88 ust. 7 pkt 4 lit. a </t>
    </r>
    <r>
      <rPr>
        <i/>
        <sz val="12"/>
        <rFont val="Calibri"/>
        <family val="2"/>
        <charset val="238"/>
        <scheme val="minor"/>
      </rPr>
      <t>Ustawy o podatku akcyzowym</t>
    </r>
    <r>
      <rPr>
        <sz val="12"/>
        <rFont val="Calibri"/>
        <family val="2"/>
        <charset val="238"/>
        <scheme val="minor"/>
      </rPr>
      <t>] oraz przyjmując wartość ciepła spalania 39,5 MJ/m3.</t>
    </r>
  </si>
  <si>
    <t>Okres dostawy</t>
  </si>
  <si>
    <t>01.01.2023 – 31.12.2023</t>
  </si>
  <si>
    <t>Grupa taryfowa OSD</t>
  </si>
  <si>
    <r>
      <rPr>
        <b/>
        <sz val="9"/>
        <rFont val="Calibri"/>
        <family val="2"/>
        <charset val="238"/>
        <scheme val="minor"/>
      </rPr>
      <t>Szacunkowe zapotrzebowanie na paliwo gazowe objęte ochroną taryfową, zwolnione z akcyzy</t>
    </r>
    <r>
      <rPr>
        <sz val="9"/>
        <rFont val="Calibri"/>
        <family val="2"/>
        <charset val="238"/>
        <scheme val="minor"/>
      </rPr>
      <t xml:space="preserve"> 
[kWh]</t>
    </r>
  </si>
  <si>
    <r>
      <rPr>
        <b/>
        <sz val="9"/>
        <rFont val="Calibri"/>
        <family val="2"/>
        <charset val="238"/>
        <scheme val="minor"/>
      </rPr>
      <t>Szacunkowe zapotrzebowanie na paliwo gazowe objęte ochroną taryfową, opodatkowane akcyzą 1,38 zł/GJ</t>
    </r>
    <r>
      <rPr>
        <sz val="9"/>
        <rFont val="Calibri"/>
        <family val="2"/>
        <charset val="238"/>
        <scheme val="minor"/>
      </rPr>
      <t xml:space="preserve">
[kWh]</t>
    </r>
  </si>
  <si>
    <r>
      <rPr>
        <b/>
        <sz val="9"/>
        <rFont val="Calibri"/>
        <family val="2"/>
        <charset val="238"/>
        <scheme val="minor"/>
      </rPr>
      <t>Szacunkowe zapotrzebowanie na paliwo gazowe, którego nie obejmuje ochrona taryfowa, zwolnione z akcyzy</t>
    </r>
    <r>
      <rPr>
        <sz val="9"/>
        <rFont val="Calibri"/>
        <family val="2"/>
        <charset val="238"/>
        <scheme val="minor"/>
      </rPr>
      <t xml:space="preserve"> 
[kWh]</t>
    </r>
  </si>
  <si>
    <r>
      <rPr>
        <b/>
        <sz val="9"/>
        <rFont val="Calibri"/>
        <family val="2"/>
        <charset val="238"/>
        <scheme val="minor"/>
      </rPr>
      <t>Szacunkowe zapotrzebowanie na paliwo gazowe, którego nie obejmuje ochrona taryfowa, opodatkowane akcyzą 1,38 zł/GJ</t>
    </r>
    <r>
      <rPr>
        <sz val="9"/>
        <rFont val="Calibri"/>
        <family val="2"/>
        <charset val="238"/>
        <scheme val="minor"/>
      </rPr>
      <t xml:space="preserve">
[kWh]</t>
    </r>
  </si>
  <si>
    <r>
      <rPr>
        <b/>
        <sz val="9"/>
        <rFont val="Calibri"/>
        <family val="2"/>
        <charset val="238"/>
        <scheme val="minor"/>
      </rPr>
      <t xml:space="preserve">Cena jednostkowa za paliwo gazowe, którego nie obejmuje ochrona taryfowa, bez akcyzy
</t>
    </r>
    <r>
      <rPr>
        <sz val="9"/>
        <rFont val="Calibri"/>
        <family val="2"/>
        <charset val="238"/>
        <scheme val="minor"/>
      </rPr>
      <t xml:space="preserve">[gr/kWh]
</t>
    </r>
    <r>
      <rPr>
        <i/>
        <sz val="9"/>
        <rFont val="Calibri"/>
        <family val="2"/>
        <charset val="238"/>
        <scheme val="minor"/>
      </rPr>
      <t>(z dokładnością
do 3 miejsc 
po przecinku)</t>
    </r>
  </si>
  <si>
    <r>
      <t xml:space="preserve">Cena jednostkowa za paliwo gazowe, którego nie obejmuje ochrona taryfowa, z akcyzą 1,38 zł/GJ*
</t>
    </r>
    <r>
      <rPr>
        <sz val="9"/>
        <rFont val="Calibri"/>
        <family val="2"/>
        <charset val="238"/>
        <scheme val="minor"/>
      </rPr>
      <t>[gr/kWh]
(kol. 15 + 0,39)</t>
    </r>
  </si>
  <si>
    <r>
      <rPr>
        <b/>
        <sz val="9"/>
        <rFont val="Calibri"/>
        <family val="2"/>
        <charset val="238"/>
        <scheme val="minor"/>
      </rPr>
      <t>Łączny koszt paliwa gazowego</t>
    </r>
    <r>
      <rPr>
        <sz val="9"/>
        <rFont val="Calibri"/>
        <family val="2"/>
        <charset val="238"/>
        <scheme val="minor"/>
      </rPr>
      <t xml:space="preserve"> (zł)
(kol. 5 × kol. 13) /100 + (kol. 6 × kol. 14) /100 + (kol. 7 × kol. 15) /100 + (kol. 8 × kol. 16) /100 + (kol. 3 × kol. 10 × kol. 17)
</t>
    </r>
    <r>
      <rPr>
        <i/>
        <sz val="9"/>
        <rFont val="Calibri"/>
        <family val="2"/>
        <charset val="238"/>
        <scheme val="minor"/>
      </rPr>
      <t>(zaokrąglenie do 2 miejsc po przecinku)</t>
    </r>
  </si>
  <si>
    <r>
      <rPr>
        <b/>
        <sz val="9"/>
        <rFont val="Calibri"/>
        <family val="2"/>
        <charset val="238"/>
        <scheme val="minor"/>
      </rPr>
      <t xml:space="preserve">Stawka opłaty stałej </t>
    </r>
    <r>
      <rPr>
        <sz val="9"/>
        <rFont val="Calibri"/>
        <family val="2"/>
        <charset val="238"/>
        <scheme val="minor"/>
      </rPr>
      <t xml:space="preserve">
a) [zł/mc] 
dla grup taryfowych z ozn. 
W-1, W-2, W-3, W-4
b) [gr/(kWh/h) za h]
dla grup taryfowych z ozn. 
W-5, W-6</t>
    </r>
  </si>
  <si>
    <r>
      <rPr>
        <b/>
        <sz val="9"/>
        <rFont val="Calibri"/>
        <family val="2"/>
        <charset val="238"/>
        <scheme val="minor"/>
      </rPr>
      <t>Łącznie opłata stała</t>
    </r>
    <r>
      <rPr>
        <sz val="9"/>
        <rFont val="Calibri"/>
        <family val="2"/>
        <charset val="238"/>
        <scheme val="minor"/>
      </rPr>
      <t xml:space="preserve"> (zł)
a) (kol. 3 × kol. 10 × kol. 19) 
dla grup taryfowych z ozn.
W-1, W-2, W-3, W-4
b) (kol. 4 × kol. 11 × 24 h × kol. 19) /100 
dla grup taryfowych z ozn.
W-5, W-6
</t>
    </r>
    <r>
      <rPr>
        <i/>
        <sz val="9"/>
        <rFont val="Calibri"/>
        <family val="2"/>
        <charset val="238"/>
        <scheme val="minor"/>
      </rPr>
      <t xml:space="preserve">
(zaokrąglenie do 2 
miejsc po przecinku)</t>
    </r>
  </si>
  <si>
    <r>
      <rPr>
        <b/>
        <sz val="9"/>
        <rFont val="Calibri"/>
        <family val="2"/>
        <charset val="238"/>
        <scheme val="minor"/>
      </rPr>
      <t>Łącznie opłata zmienna</t>
    </r>
    <r>
      <rPr>
        <sz val="9"/>
        <rFont val="Calibri"/>
        <family val="2"/>
        <charset val="238"/>
        <scheme val="minor"/>
      </rPr>
      <t xml:space="preserve"> (zł)
(kol. 9 × kol. 21) /100
</t>
    </r>
    <r>
      <rPr>
        <i/>
        <sz val="9"/>
        <rFont val="Calibri"/>
        <family val="2"/>
        <charset val="238"/>
        <scheme val="minor"/>
      </rPr>
      <t>(zaokrąglenie do 2 miejsc po przecinku)</t>
    </r>
  </si>
  <si>
    <r>
      <rPr>
        <b/>
        <sz val="9"/>
        <rFont val="Calibri"/>
        <family val="2"/>
        <charset val="238"/>
        <scheme val="minor"/>
      </rPr>
      <t>Łączny koszt usługi dystrybucji</t>
    </r>
    <r>
      <rPr>
        <sz val="9"/>
        <rFont val="Calibri"/>
        <family val="2"/>
        <charset val="238"/>
        <scheme val="minor"/>
      </rPr>
      <t xml:space="preserve"> (zł)
(kol. 20 + kol. 22)</t>
    </r>
  </si>
  <si>
    <t>(suma kol. 18 
+ kol. 23)</t>
  </si>
  <si>
    <r>
      <t xml:space="preserve">((kol. 24) 
× (1 + kol. 26))
</t>
    </r>
    <r>
      <rPr>
        <i/>
        <sz val="9"/>
        <rFont val="Calibri"/>
        <family val="2"/>
        <charset val="238"/>
        <scheme val="minor"/>
      </rPr>
      <t>(zaokrąglenie do 2 miejsc po przecinku)</t>
    </r>
  </si>
  <si>
    <t>BW-1.12T</t>
  </si>
  <si>
    <t>BW-1.1</t>
  </si>
  <si>
    <t>BW-2.12T</t>
  </si>
  <si>
    <t>BW-2.1</t>
  </si>
  <si>
    <t>BW-3.12T</t>
  </si>
  <si>
    <t>BW-3.6</t>
  </si>
  <si>
    <t>BW-4</t>
  </si>
  <si>
    <t>BW-5</t>
  </si>
  <si>
    <r>
      <t xml:space="preserve">Cena jednostkowa za paliwo gazowe objęte ochroną taryfową**, z akcyzą 1,38 zł/GJ*
</t>
    </r>
    <r>
      <rPr>
        <sz val="9"/>
        <rFont val="Calibri"/>
        <family val="2"/>
        <charset val="238"/>
        <scheme val="minor"/>
      </rPr>
      <t>[gr/kWh]
(kol. 13 + 0,39)</t>
    </r>
  </si>
  <si>
    <r>
      <rPr>
        <b/>
        <sz val="9"/>
        <rFont val="Calibri"/>
        <family val="2"/>
        <charset val="238"/>
        <scheme val="minor"/>
      </rPr>
      <t xml:space="preserve">Cena jednostkowa za paliwo gazowe objęte ochroną taryfową**, bez akcyzy
</t>
    </r>
    <r>
      <rPr>
        <sz val="9"/>
        <rFont val="Calibri"/>
        <family val="2"/>
        <charset val="238"/>
        <scheme val="minor"/>
      </rPr>
      <t xml:space="preserve">[gr/kWh]
</t>
    </r>
    <r>
      <rPr>
        <i/>
        <sz val="9"/>
        <rFont val="Calibri"/>
        <family val="2"/>
        <charset val="238"/>
        <scheme val="minor"/>
      </rPr>
      <t>(z dokładnością
do 3 miejsc 
po przecinku)</t>
    </r>
  </si>
  <si>
    <t>**Rozliczenia kosztów dystrybucji dla wszystkich odbiorców oraz kosztów paliwa gazowego dla odbiorców chronionych będą prowadzone zgodnie z taryfami obowiązującymi w okresie dostawy.</t>
  </si>
  <si>
    <t>W-2.2_TA</t>
  </si>
  <si>
    <t>BW-2.2</t>
  </si>
  <si>
    <t>Stawka podatku VAT***</t>
  </si>
  <si>
    <t>01.11.2022 – 31.12.2023</t>
  </si>
  <si>
    <t>nie</t>
  </si>
  <si>
    <t>nie dotyczy</t>
  </si>
  <si>
    <t>Grupa taryfowa PGNiG</t>
  </si>
  <si>
    <r>
      <rPr>
        <b/>
        <sz val="9"/>
        <rFont val="Calibri"/>
        <family val="2"/>
        <charset val="238"/>
        <scheme val="minor"/>
      </rPr>
      <t>Abonament/opłata handlowa</t>
    </r>
    <r>
      <rPr>
        <sz val="9"/>
        <rFont val="Calibri"/>
        <family val="2"/>
        <charset val="238"/>
        <scheme val="minor"/>
      </rPr>
      <t xml:space="preserve">
[zł/PPG/mc]
</t>
    </r>
    <r>
      <rPr>
        <i/>
        <sz val="9"/>
        <rFont val="Calibri"/>
        <family val="2"/>
        <charset val="238"/>
        <scheme val="minor"/>
      </rPr>
      <t>(z dokładnością do 2 miejsc po przecinku)</t>
    </r>
  </si>
  <si>
    <t>tak</t>
  </si>
  <si>
    <t>Czy dane punkty poboru podlegają pełnej lub częściowej ochronie taryfowej (informacja podana w celu ustalenia wysokości abonamentu/opłaty handlowej w przypadku grup taryfowych BW-2.2, BW-3.6, BW-6):</t>
  </si>
  <si>
    <t>***Wykonawca oblicza wartość brutto według stawki VAT obowiązującej w dniu składania oferty.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</si>
</sst>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00"/>
    <numFmt numFmtId="166" formatCode="0.0000"/>
  </numFmts>
  <fonts count="8" x14ac:knownFonts="1">
    <font>
      <sz val="11"/>
      <color theme="1"/>
      <name val="Calibri"/>
      <family val="2"/>
      <scheme val="minor"/>
    </font>
    <font>
      <b/>
      <sz val="1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i/>
      <sz val="9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i/>
      <sz val="12"/>
      <name val="Calibri"/>
      <family val="2"/>
      <charset val="238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166" fontId="3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165" fontId="3" fillId="0" borderId="0" xfId="0" applyNumberFormat="1" applyFont="1" applyAlignment="1">
      <alignment horizontal="center"/>
    </xf>
    <xf numFmtId="0" fontId="2" fillId="0" borderId="0" xfId="0" applyFont="1" applyAlignment="1">
      <alignment horizontal="center" vertical="center"/>
    </xf>
    <xf numFmtId="49" fontId="2" fillId="3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/>
    </xf>
    <xf numFmtId="9" fontId="3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5" fontId="3" fillId="4" borderId="1" xfId="0" applyNumberFormat="1" applyFont="1" applyFill="1" applyBorder="1" applyAlignment="1">
      <alignment horizontal="center" vertical="center"/>
    </xf>
    <xf numFmtId="4" fontId="3" fillId="4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justify" vertical="center" wrapText="1"/>
    </xf>
    <xf numFmtId="0" fontId="5" fillId="0" borderId="3" xfId="0" applyFont="1" applyBorder="1" applyAlignment="1">
      <alignment horizontal="justify" vertical="center" wrapText="1"/>
    </xf>
    <xf numFmtId="0" fontId="5" fillId="0" borderId="4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B47"/>
  <sheetViews>
    <sheetView tabSelected="1" topLeftCell="A4" zoomScale="70" zoomScaleNormal="70" workbookViewId="0">
      <selection activeCell="L27" sqref="L27"/>
    </sheetView>
  </sheetViews>
  <sheetFormatPr defaultRowHeight="14.4" x14ac:dyDescent="0.3"/>
  <cols>
    <col min="1" max="2" width="10.5546875" style="9" customWidth="1"/>
    <col min="3" max="3" width="9.6640625" style="9" customWidth="1"/>
    <col min="4" max="4" width="7.109375" style="9" customWidth="1"/>
    <col min="5" max="8" width="19.6640625" style="9" customWidth="1"/>
    <col min="9" max="9" width="14.109375" style="9" customWidth="1"/>
    <col min="10" max="10" width="10" style="9" customWidth="1"/>
    <col min="11" max="11" width="8.21875" style="9" bestFit="1" customWidth="1"/>
    <col min="12" max="12" width="17.44140625" style="9" bestFit="1" customWidth="1"/>
    <col min="13" max="16" width="15.88671875" style="9" customWidth="1"/>
    <col min="17" max="17" width="12.33203125" style="9" customWidth="1"/>
    <col min="18" max="18" width="17.88671875" style="9" customWidth="1"/>
    <col min="19" max="19" width="20" style="9" customWidth="1"/>
    <col min="20" max="20" width="22.109375" style="9" customWidth="1"/>
    <col min="21" max="21" width="12.109375" style="9" customWidth="1"/>
    <col min="22" max="22" width="15.33203125" style="9" customWidth="1"/>
    <col min="23" max="23" width="13.33203125" style="9" customWidth="1"/>
    <col min="24" max="25" width="12.44140625" style="9" customWidth="1"/>
    <col min="26" max="26" width="7.88671875" customWidth="1"/>
    <col min="27" max="27" width="20.33203125" customWidth="1"/>
    <col min="28" max="28" width="18.88671875" customWidth="1"/>
    <col min="29" max="29" width="9.88671875" bestFit="1" customWidth="1"/>
  </cols>
  <sheetData>
    <row r="1" spans="1:28" ht="15.75" customHeight="1" x14ac:dyDescent="0.3">
      <c r="A1" s="22" t="s">
        <v>17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</row>
    <row r="2" spans="1:28" ht="24" customHeight="1" x14ac:dyDescent="0.3">
      <c r="A2" s="21" t="s">
        <v>23</v>
      </c>
      <c r="B2" s="28" t="s">
        <v>54</v>
      </c>
      <c r="C2" s="21" t="s">
        <v>0</v>
      </c>
      <c r="D2" s="21" t="s">
        <v>7</v>
      </c>
      <c r="E2" s="20" t="s">
        <v>24</v>
      </c>
      <c r="F2" s="20" t="s">
        <v>25</v>
      </c>
      <c r="G2" s="20" t="s">
        <v>26</v>
      </c>
      <c r="H2" s="20" t="s">
        <v>27</v>
      </c>
      <c r="I2" s="20" t="s">
        <v>8</v>
      </c>
      <c r="J2" s="21" t="s">
        <v>1</v>
      </c>
      <c r="K2" s="21" t="s">
        <v>2</v>
      </c>
      <c r="L2" s="21" t="s">
        <v>3</v>
      </c>
      <c r="M2" s="24" t="s">
        <v>9</v>
      </c>
      <c r="N2" s="24"/>
      <c r="O2" s="24"/>
      <c r="P2" s="24"/>
      <c r="Q2" s="24"/>
      <c r="R2" s="24"/>
      <c r="S2" s="24" t="s">
        <v>10</v>
      </c>
      <c r="T2" s="24"/>
      <c r="U2" s="24"/>
      <c r="V2" s="24"/>
      <c r="W2" s="24"/>
      <c r="X2" s="1" t="s">
        <v>11</v>
      </c>
      <c r="Y2" s="1" t="s">
        <v>12</v>
      </c>
      <c r="Z2" s="1"/>
      <c r="AA2" s="12"/>
      <c r="AB2" s="12"/>
    </row>
    <row r="3" spans="1:28" ht="144" x14ac:dyDescent="0.3">
      <c r="A3" s="21"/>
      <c r="B3" s="29"/>
      <c r="C3" s="21"/>
      <c r="D3" s="21"/>
      <c r="E3" s="20"/>
      <c r="F3" s="20"/>
      <c r="G3" s="20"/>
      <c r="H3" s="20"/>
      <c r="I3" s="20"/>
      <c r="J3" s="21"/>
      <c r="K3" s="21"/>
      <c r="L3" s="21"/>
      <c r="M3" s="17" t="s">
        <v>46</v>
      </c>
      <c r="N3" s="16" t="s">
        <v>45</v>
      </c>
      <c r="O3" s="17" t="s">
        <v>28</v>
      </c>
      <c r="P3" s="16" t="s">
        <v>29</v>
      </c>
      <c r="Q3" s="17" t="s">
        <v>55</v>
      </c>
      <c r="R3" s="17" t="s">
        <v>30</v>
      </c>
      <c r="S3" s="17" t="s">
        <v>31</v>
      </c>
      <c r="T3" s="17" t="s">
        <v>32</v>
      </c>
      <c r="U3" s="16" t="s">
        <v>6</v>
      </c>
      <c r="V3" s="17" t="s">
        <v>33</v>
      </c>
      <c r="W3" s="17" t="s">
        <v>34</v>
      </c>
      <c r="X3" s="17" t="s">
        <v>35</v>
      </c>
      <c r="Y3" s="17" t="s">
        <v>36</v>
      </c>
      <c r="Z3" s="17" t="s">
        <v>50</v>
      </c>
      <c r="AA3" s="13" t="s">
        <v>21</v>
      </c>
      <c r="AB3" s="13" t="s">
        <v>57</v>
      </c>
    </row>
    <row r="4" spans="1:28" ht="12.75" customHeight="1" x14ac:dyDescent="0.3">
      <c r="A4" s="2" t="str">
        <f>"-1-"</f>
        <v>-1-</v>
      </c>
      <c r="B4" s="2" t="str">
        <f>"-2-"</f>
        <v>-2-</v>
      </c>
      <c r="C4" s="2" t="str">
        <f>"-3-"</f>
        <v>-3-</v>
      </c>
      <c r="D4" s="2" t="str">
        <f>"-4-"</f>
        <v>-4-</v>
      </c>
      <c r="E4" s="2" t="str">
        <f>"-5-"</f>
        <v>-5-</v>
      </c>
      <c r="F4" s="2" t="str">
        <f>"-6-"</f>
        <v>-6-</v>
      </c>
      <c r="G4" s="2" t="str">
        <f>"-7-"</f>
        <v>-7-</v>
      </c>
      <c r="H4" s="2" t="str">
        <f>"-8-"</f>
        <v>-8-</v>
      </c>
      <c r="I4" s="2" t="str">
        <f>"-9-"</f>
        <v>-9-</v>
      </c>
      <c r="J4" s="2" t="str">
        <f>"-10-"</f>
        <v>-10-</v>
      </c>
      <c r="K4" s="2" t="str">
        <f>"-11-"</f>
        <v>-11-</v>
      </c>
      <c r="L4" s="2" t="str">
        <f>"-12-"</f>
        <v>-12-</v>
      </c>
      <c r="M4" s="2" t="str">
        <f>"-13-"</f>
        <v>-13-</v>
      </c>
      <c r="N4" s="2" t="str">
        <f>"-14-"</f>
        <v>-14-</v>
      </c>
      <c r="O4" s="2" t="str">
        <f>"-15-"</f>
        <v>-15-</v>
      </c>
      <c r="P4" s="2" t="str">
        <f>"-16-"</f>
        <v>-16-</v>
      </c>
      <c r="Q4" s="2" t="str">
        <f>"-17-"</f>
        <v>-17-</v>
      </c>
      <c r="R4" s="2" t="str">
        <f>"-18-"</f>
        <v>-18-</v>
      </c>
      <c r="S4" s="2" t="str">
        <f>"-19-"</f>
        <v>-19-</v>
      </c>
      <c r="T4" s="2" t="str">
        <f>"-20-"</f>
        <v>-20-</v>
      </c>
      <c r="U4" s="2" t="str">
        <f>"-21-"</f>
        <v>-21-</v>
      </c>
      <c r="V4" s="14" t="str">
        <f>"-22-"</f>
        <v>-22-</v>
      </c>
      <c r="W4" s="2" t="str">
        <f>"-23-"</f>
        <v>-23-</v>
      </c>
      <c r="X4" s="2" t="str">
        <f>"-24-"</f>
        <v>-24-</v>
      </c>
      <c r="Y4" s="2" t="str">
        <f>"-25-"</f>
        <v>-25-</v>
      </c>
      <c r="Z4" s="2" t="str">
        <f>"-26-"</f>
        <v>-26-</v>
      </c>
      <c r="AA4" s="2" t="str">
        <f>"-27-"</f>
        <v>-27-</v>
      </c>
      <c r="AB4" s="2" t="str">
        <f>"-28-"</f>
        <v>-28-</v>
      </c>
    </row>
    <row r="5" spans="1:28" ht="22.2" customHeight="1" x14ac:dyDescent="0.3">
      <c r="A5" s="2" t="s">
        <v>18</v>
      </c>
      <c r="B5" s="2" t="s">
        <v>37</v>
      </c>
      <c r="C5" s="2">
        <v>1</v>
      </c>
      <c r="D5" s="3" t="s">
        <v>4</v>
      </c>
      <c r="E5" s="4">
        <v>3612</v>
      </c>
      <c r="F5" s="4">
        <v>0</v>
      </c>
      <c r="G5" s="4">
        <v>0</v>
      </c>
      <c r="H5" s="4">
        <v>0</v>
      </c>
      <c r="I5" s="4">
        <v>3612</v>
      </c>
      <c r="J5" s="4">
        <v>14</v>
      </c>
      <c r="K5" s="4" t="s">
        <v>4</v>
      </c>
      <c r="L5" s="5" t="s">
        <v>13</v>
      </c>
      <c r="M5" s="18"/>
      <c r="N5" s="6" t="str">
        <f t="shared" ref="N5:P19" si="0">IF(ROUND(M5,3)=0,"",ROUND(M5,3)+0.39)</f>
        <v/>
      </c>
      <c r="O5" s="18"/>
      <c r="P5" s="6" t="str">
        <f t="shared" si="0"/>
        <v/>
      </c>
      <c r="Q5" s="19"/>
      <c r="R5" s="7" t="str">
        <f>IFERROR(IF(ROUND(M5,3)&gt;0,ROUND(E5*ROUND(M5,3)/100+F5*N5/100
+G5*ROUND(O5,3)/100+H5*P5/100
+ROUND(Q5,2)*J5*C5,2),""),"")</f>
        <v/>
      </c>
      <c r="S5" s="8">
        <v>3.55</v>
      </c>
      <c r="T5" s="7">
        <f t="shared" ref="T5:T19" si="1">ROUND(IF(D5="nd.",C5*S5*J5,(K5*24*D5*S5)/100),2)</f>
        <v>49.7</v>
      </c>
      <c r="U5" s="8">
        <v>5.3760000000000003</v>
      </c>
      <c r="V5" s="7">
        <f t="shared" ref="V5:V19" si="2">ROUND(U5*I5/100,2)</f>
        <v>194.18</v>
      </c>
      <c r="W5" s="7">
        <f t="shared" ref="W5:W19" si="3">T5+V5</f>
        <v>243.88</v>
      </c>
      <c r="X5" s="7" t="str">
        <f t="shared" ref="X5:X19" si="4">IF(M5&gt;0,R5+W5,"")</f>
        <v/>
      </c>
      <c r="Y5" s="7" t="str">
        <f t="shared" ref="Y5:Y19" si="5">IF(M5&gt;0,ROUND(X5*(1+Z5),2),"")</f>
        <v/>
      </c>
      <c r="Z5" s="15">
        <f>0%</f>
        <v>0</v>
      </c>
      <c r="AA5" s="14" t="s">
        <v>51</v>
      </c>
      <c r="AB5" s="14" t="s">
        <v>53</v>
      </c>
    </row>
    <row r="6" spans="1:28" ht="22.2" customHeight="1" x14ac:dyDescent="0.3">
      <c r="A6" s="2" t="s">
        <v>18</v>
      </c>
      <c r="B6" s="2" t="s">
        <v>38</v>
      </c>
      <c r="C6" s="2">
        <v>1</v>
      </c>
      <c r="D6" s="3" t="s">
        <v>4</v>
      </c>
      <c r="E6" s="4">
        <v>2112</v>
      </c>
      <c r="F6" s="4">
        <v>0</v>
      </c>
      <c r="G6" s="4">
        <v>0</v>
      </c>
      <c r="H6" s="4">
        <v>0</v>
      </c>
      <c r="I6" s="4">
        <v>2112</v>
      </c>
      <c r="J6" s="4">
        <v>12</v>
      </c>
      <c r="K6" s="4" t="s">
        <v>4</v>
      </c>
      <c r="L6" s="5" t="s">
        <v>13</v>
      </c>
      <c r="M6" s="18"/>
      <c r="N6" s="6" t="str">
        <f t="shared" si="0"/>
        <v/>
      </c>
      <c r="O6" s="18"/>
      <c r="P6" s="6" t="str">
        <f t="shared" si="0"/>
        <v/>
      </c>
      <c r="Q6" s="19"/>
      <c r="R6" s="7" t="str">
        <f t="shared" ref="R6:R19" si="6">IFERROR(IF(ROUND(M6,3)&gt;0,ROUND(E6*ROUND(M6,3)/100+F6*N6/100
+G6*ROUND(O6,3)/100+H6*P6/100
+ROUND(Q6,2)*J6*C6,2),""),"")</f>
        <v/>
      </c>
      <c r="S6" s="8">
        <v>3.55</v>
      </c>
      <c r="T6" s="7">
        <f t="shared" si="1"/>
        <v>42.6</v>
      </c>
      <c r="U6" s="8">
        <v>5.3760000000000003</v>
      </c>
      <c r="V6" s="7">
        <f t="shared" si="2"/>
        <v>113.54</v>
      </c>
      <c r="W6" s="7">
        <f t="shared" si="3"/>
        <v>156.14000000000001</v>
      </c>
      <c r="X6" s="7" t="str">
        <f t="shared" si="4"/>
        <v/>
      </c>
      <c r="Y6" s="7" t="str">
        <f t="shared" si="5"/>
        <v/>
      </c>
      <c r="Z6" s="15">
        <f>0%</f>
        <v>0</v>
      </c>
      <c r="AA6" s="14" t="s">
        <v>22</v>
      </c>
      <c r="AB6" s="14" t="s">
        <v>53</v>
      </c>
    </row>
    <row r="7" spans="1:28" ht="22.2" customHeight="1" x14ac:dyDescent="0.3">
      <c r="A7" s="2" t="s">
        <v>18</v>
      </c>
      <c r="B7" s="2" t="s">
        <v>38</v>
      </c>
      <c r="C7" s="2">
        <v>24</v>
      </c>
      <c r="D7" s="3" t="s">
        <v>4</v>
      </c>
      <c r="E7" s="4">
        <v>21924</v>
      </c>
      <c r="F7" s="4">
        <v>0</v>
      </c>
      <c r="G7" s="4">
        <v>1540</v>
      </c>
      <c r="H7" s="4">
        <v>0</v>
      </c>
      <c r="I7" s="4">
        <v>23464</v>
      </c>
      <c r="J7" s="4">
        <v>14</v>
      </c>
      <c r="K7" s="4" t="s">
        <v>4</v>
      </c>
      <c r="L7" s="5" t="s">
        <v>13</v>
      </c>
      <c r="M7" s="18"/>
      <c r="N7" s="6" t="str">
        <f t="shared" si="0"/>
        <v/>
      </c>
      <c r="O7" s="18"/>
      <c r="P7" s="6" t="str">
        <f t="shared" si="0"/>
        <v/>
      </c>
      <c r="Q7" s="19"/>
      <c r="R7" s="7" t="str">
        <f t="shared" si="6"/>
        <v/>
      </c>
      <c r="S7" s="8">
        <v>3.55</v>
      </c>
      <c r="T7" s="7">
        <f t="shared" si="1"/>
        <v>1192.8</v>
      </c>
      <c r="U7" s="8">
        <v>5.3760000000000003</v>
      </c>
      <c r="V7" s="7">
        <f t="shared" si="2"/>
        <v>1261.42</v>
      </c>
      <c r="W7" s="7">
        <f t="shared" si="3"/>
        <v>2454.2200000000003</v>
      </c>
      <c r="X7" s="7" t="str">
        <f t="shared" si="4"/>
        <v/>
      </c>
      <c r="Y7" s="7" t="str">
        <f t="shared" si="5"/>
        <v/>
      </c>
      <c r="Z7" s="15">
        <f>0%</f>
        <v>0</v>
      </c>
      <c r="AA7" s="14" t="s">
        <v>51</v>
      </c>
      <c r="AB7" s="14" t="s">
        <v>53</v>
      </c>
    </row>
    <row r="8" spans="1:28" ht="22.2" customHeight="1" x14ac:dyDescent="0.3">
      <c r="A8" s="2" t="s">
        <v>19</v>
      </c>
      <c r="B8" s="2" t="s">
        <v>39</v>
      </c>
      <c r="C8" s="2">
        <v>5</v>
      </c>
      <c r="D8" s="3" t="s">
        <v>4</v>
      </c>
      <c r="E8" s="4">
        <v>59310</v>
      </c>
      <c r="F8" s="4">
        <v>0</v>
      </c>
      <c r="G8" s="4">
        <v>10419</v>
      </c>
      <c r="H8" s="4">
        <v>0</v>
      </c>
      <c r="I8" s="4">
        <v>69729</v>
      </c>
      <c r="J8" s="4">
        <v>14</v>
      </c>
      <c r="K8" s="4" t="s">
        <v>4</v>
      </c>
      <c r="L8" s="5" t="s">
        <v>13</v>
      </c>
      <c r="M8" s="18"/>
      <c r="N8" s="6" t="str">
        <f t="shared" si="0"/>
        <v/>
      </c>
      <c r="O8" s="18"/>
      <c r="P8" s="6" t="str">
        <f t="shared" si="0"/>
        <v/>
      </c>
      <c r="Q8" s="19"/>
      <c r="R8" s="7" t="str">
        <f t="shared" si="6"/>
        <v/>
      </c>
      <c r="S8" s="8">
        <v>9.0399999999999991</v>
      </c>
      <c r="T8" s="7">
        <f t="shared" si="1"/>
        <v>632.79999999999995</v>
      </c>
      <c r="U8" s="8">
        <v>3.91</v>
      </c>
      <c r="V8" s="7">
        <f t="shared" si="2"/>
        <v>2726.4</v>
      </c>
      <c r="W8" s="7">
        <f t="shared" si="3"/>
        <v>3359.2</v>
      </c>
      <c r="X8" s="7" t="str">
        <f t="shared" si="4"/>
        <v/>
      </c>
      <c r="Y8" s="7" t="str">
        <f t="shared" si="5"/>
        <v/>
      </c>
      <c r="Z8" s="15">
        <f>0%</f>
        <v>0</v>
      </c>
      <c r="AA8" s="14" t="s">
        <v>51</v>
      </c>
      <c r="AB8" s="14" t="s">
        <v>53</v>
      </c>
    </row>
    <row r="9" spans="1:28" ht="22.2" customHeight="1" x14ac:dyDescent="0.3">
      <c r="A9" s="2" t="s">
        <v>19</v>
      </c>
      <c r="B9" s="2" t="s">
        <v>40</v>
      </c>
      <c r="C9" s="2">
        <v>23</v>
      </c>
      <c r="D9" s="3" t="s">
        <v>4</v>
      </c>
      <c r="E9" s="4">
        <v>163883</v>
      </c>
      <c r="F9" s="4">
        <v>0</v>
      </c>
      <c r="G9" s="4">
        <v>46895</v>
      </c>
      <c r="H9" s="4">
        <v>0</v>
      </c>
      <c r="I9" s="4">
        <v>210778</v>
      </c>
      <c r="J9" s="4">
        <v>14</v>
      </c>
      <c r="K9" s="4" t="s">
        <v>4</v>
      </c>
      <c r="L9" s="5" t="s">
        <v>13</v>
      </c>
      <c r="M9" s="18"/>
      <c r="N9" s="6" t="str">
        <f t="shared" si="0"/>
        <v/>
      </c>
      <c r="O9" s="18"/>
      <c r="P9" s="6" t="str">
        <f t="shared" si="0"/>
        <v/>
      </c>
      <c r="Q9" s="19"/>
      <c r="R9" s="7" t="str">
        <f t="shared" si="6"/>
        <v/>
      </c>
      <c r="S9" s="8">
        <v>9.0399999999999991</v>
      </c>
      <c r="T9" s="7">
        <f t="shared" si="1"/>
        <v>2910.88</v>
      </c>
      <c r="U9" s="8">
        <v>3.91</v>
      </c>
      <c r="V9" s="7">
        <f t="shared" si="2"/>
        <v>8241.42</v>
      </c>
      <c r="W9" s="7">
        <f t="shared" si="3"/>
        <v>11152.3</v>
      </c>
      <c r="X9" s="7" t="str">
        <f t="shared" si="4"/>
        <v/>
      </c>
      <c r="Y9" s="7" t="str">
        <f t="shared" si="5"/>
        <v/>
      </c>
      <c r="Z9" s="15">
        <f>0%</f>
        <v>0</v>
      </c>
      <c r="AA9" s="14" t="s">
        <v>51</v>
      </c>
      <c r="AB9" s="14" t="s">
        <v>53</v>
      </c>
    </row>
    <row r="10" spans="1:28" ht="22.2" customHeight="1" x14ac:dyDescent="0.3">
      <c r="A10" s="2" t="s">
        <v>48</v>
      </c>
      <c r="B10" s="2" t="s">
        <v>49</v>
      </c>
      <c r="C10" s="2">
        <v>2</v>
      </c>
      <c r="D10" s="3" t="s">
        <v>4</v>
      </c>
      <c r="E10" s="4">
        <v>0</v>
      </c>
      <c r="F10" s="4">
        <v>0</v>
      </c>
      <c r="G10" s="4">
        <v>9240</v>
      </c>
      <c r="H10" s="4">
        <v>0</v>
      </c>
      <c r="I10" s="4">
        <v>9240</v>
      </c>
      <c r="J10" s="4">
        <v>14</v>
      </c>
      <c r="K10" s="4" t="s">
        <v>4</v>
      </c>
      <c r="L10" s="5" t="s">
        <v>13</v>
      </c>
      <c r="M10" s="18"/>
      <c r="N10" s="6" t="str">
        <f t="shared" si="0"/>
        <v/>
      </c>
      <c r="O10" s="18"/>
      <c r="P10" s="6" t="str">
        <f t="shared" si="0"/>
        <v/>
      </c>
      <c r="Q10" s="19"/>
      <c r="R10" s="7" t="str">
        <f t="shared" si="6"/>
        <v/>
      </c>
      <c r="S10" s="8">
        <v>9.9</v>
      </c>
      <c r="T10" s="7">
        <f t="shared" si="1"/>
        <v>277.2</v>
      </c>
      <c r="U10" s="8">
        <v>3.91</v>
      </c>
      <c r="V10" s="7">
        <f t="shared" si="2"/>
        <v>361.28</v>
      </c>
      <c r="W10" s="7">
        <f t="shared" si="3"/>
        <v>638.48</v>
      </c>
      <c r="X10" s="7" t="str">
        <f t="shared" si="4"/>
        <v/>
      </c>
      <c r="Y10" s="7" t="str">
        <f t="shared" si="5"/>
        <v/>
      </c>
      <c r="Z10" s="15">
        <f>0%</f>
        <v>0</v>
      </c>
      <c r="AA10" s="14" t="s">
        <v>51</v>
      </c>
      <c r="AB10" s="14" t="s">
        <v>52</v>
      </c>
    </row>
    <row r="11" spans="1:28" ht="22.2" customHeight="1" x14ac:dyDescent="0.3">
      <c r="A11" s="2" t="s">
        <v>14</v>
      </c>
      <c r="B11" s="2" t="s">
        <v>42</v>
      </c>
      <c r="C11" s="2">
        <v>11</v>
      </c>
      <c r="D11" s="3" t="s">
        <v>4</v>
      </c>
      <c r="E11" s="4">
        <v>0</v>
      </c>
      <c r="F11" s="4">
        <v>0</v>
      </c>
      <c r="G11" s="4">
        <v>425800</v>
      </c>
      <c r="H11" s="4">
        <v>71103</v>
      </c>
      <c r="I11" s="4">
        <v>496903</v>
      </c>
      <c r="J11" s="4">
        <v>14</v>
      </c>
      <c r="K11" s="4" t="s">
        <v>4</v>
      </c>
      <c r="L11" s="5" t="s">
        <v>13</v>
      </c>
      <c r="M11" s="18"/>
      <c r="N11" s="6" t="str">
        <f t="shared" si="0"/>
        <v/>
      </c>
      <c r="O11" s="18"/>
      <c r="P11" s="6" t="str">
        <f t="shared" si="0"/>
        <v/>
      </c>
      <c r="Q11" s="19"/>
      <c r="R11" s="7" t="str">
        <f t="shared" si="6"/>
        <v/>
      </c>
      <c r="S11" s="8">
        <v>34.9</v>
      </c>
      <c r="T11" s="7">
        <f t="shared" si="1"/>
        <v>5374.6</v>
      </c>
      <c r="U11" s="8">
        <v>2.931</v>
      </c>
      <c r="V11" s="7">
        <f t="shared" si="2"/>
        <v>14564.23</v>
      </c>
      <c r="W11" s="7">
        <f t="shared" si="3"/>
        <v>19938.830000000002</v>
      </c>
      <c r="X11" s="7" t="str">
        <f t="shared" si="4"/>
        <v/>
      </c>
      <c r="Y11" s="7" t="str">
        <f t="shared" si="5"/>
        <v/>
      </c>
      <c r="Z11" s="15">
        <f>0%</f>
        <v>0</v>
      </c>
      <c r="AA11" s="14" t="s">
        <v>51</v>
      </c>
      <c r="AB11" s="14" t="s">
        <v>52</v>
      </c>
    </row>
    <row r="12" spans="1:28" ht="22.2" customHeight="1" x14ac:dyDescent="0.3">
      <c r="A12" s="2" t="s">
        <v>14</v>
      </c>
      <c r="B12" s="2" t="s">
        <v>42</v>
      </c>
      <c r="C12" s="2">
        <v>1</v>
      </c>
      <c r="D12" s="3" t="s">
        <v>4</v>
      </c>
      <c r="E12" s="4">
        <v>0</v>
      </c>
      <c r="F12" s="4">
        <v>0</v>
      </c>
      <c r="G12" s="4">
        <v>14232</v>
      </c>
      <c r="H12" s="4">
        <v>0</v>
      </c>
      <c r="I12" s="4">
        <v>14232</v>
      </c>
      <c r="J12" s="4">
        <v>12</v>
      </c>
      <c r="K12" s="4" t="s">
        <v>4</v>
      </c>
      <c r="L12" s="5" t="s">
        <v>13</v>
      </c>
      <c r="M12" s="18"/>
      <c r="N12" s="6" t="str">
        <f t="shared" si="0"/>
        <v/>
      </c>
      <c r="O12" s="18"/>
      <c r="P12" s="6" t="str">
        <f t="shared" si="0"/>
        <v/>
      </c>
      <c r="Q12" s="19"/>
      <c r="R12" s="7" t="str">
        <f t="shared" si="6"/>
        <v/>
      </c>
      <c r="S12" s="8">
        <v>34.9</v>
      </c>
      <c r="T12" s="7">
        <f t="shared" si="1"/>
        <v>418.8</v>
      </c>
      <c r="U12" s="8">
        <v>2.931</v>
      </c>
      <c r="V12" s="7">
        <f t="shared" si="2"/>
        <v>417.14</v>
      </c>
      <c r="W12" s="7">
        <f t="shared" si="3"/>
        <v>835.94</v>
      </c>
      <c r="X12" s="7" t="str">
        <f t="shared" si="4"/>
        <v/>
      </c>
      <c r="Y12" s="7" t="str">
        <f t="shared" si="5"/>
        <v/>
      </c>
      <c r="Z12" s="15">
        <f>0%</f>
        <v>0</v>
      </c>
      <c r="AA12" s="14" t="s">
        <v>22</v>
      </c>
      <c r="AB12" s="14" t="s">
        <v>52</v>
      </c>
    </row>
    <row r="13" spans="1:28" ht="22.2" customHeight="1" x14ac:dyDescent="0.3">
      <c r="A13" s="2" t="s">
        <v>14</v>
      </c>
      <c r="B13" s="2" t="s">
        <v>41</v>
      </c>
      <c r="C13" s="2">
        <v>6</v>
      </c>
      <c r="D13" s="3" t="s">
        <v>4</v>
      </c>
      <c r="E13" s="4">
        <v>65797</v>
      </c>
      <c r="F13" s="4">
        <v>0</v>
      </c>
      <c r="G13" s="4">
        <v>83774</v>
      </c>
      <c r="H13" s="4">
        <v>0</v>
      </c>
      <c r="I13" s="4">
        <v>149571</v>
      </c>
      <c r="J13" s="4">
        <v>14</v>
      </c>
      <c r="K13" s="4" t="s">
        <v>4</v>
      </c>
      <c r="L13" s="5" t="s">
        <v>13</v>
      </c>
      <c r="M13" s="18"/>
      <c r="N13" s="6" t="str">
        <f t="shared" si="0"/>
        <v/>
      </c>
      <c r="O13" s="18"/>
      <c r="P13" s="6" t="str">
        <f t="shared" si="0"/>
        <v/>
      </c>
      <c r="Q13" s="19"/>
      <c r="R13" s="7" t="str">
        <f t="shared" si="6"/>
        <v/>
      </c>
      <c r="S13" s="8">
        <v>34.9</v>
      </c>
      <c r="T13" s="7">
        <f t="shared" si="1"/>
        <v>2931.6</v>
      </c>
      <c r="U13" s="8">
        <v>2.931</v>
      </c>
      <c r="V13" s="7">
        <f t="shared" si="2"/>
        <v>4383.93</v>
      </c>
      <c r="W13" s="7">
        <f t="shared" si="3"/>
        <v>7315.5300000000007</v>
      </c>
      <c r="X13" s="7" t="str">
        <f t="shared" si="4"/>
        <v/>
      </c>
      <c r="Y13" s="7" t="str">
        <f t="shared" si="5"/>
        <v/>
      </c>
      <c r="Z13" s="15">
        <f>0%</f>
        <v>0</v>
      </c>
      <c r="AA13" s="14" t="s">
        <v>51</v>
      </c>
      <c r="AB13" s="14" t="s">
        <v>53</v>
      </c>
    </row>
    <row r="14" spans="1:28" ht="22.2" customHeight="1" x14ac:dyDescent="0.3">
      <c r="A14" s="2" t="s">
        <v>14</v>
      </c>
      <c r="B14" s="2" t="s">
        <v>42</v>
      </c>
      <c r="C14" s="2">
        <v>4</v>
      </c>
      <c r="D14" s="3" t="s">
        <v>4</v>
      </c>
      <c r="E14" s="4">
        <v>148168</v>
      </c>
      <c r="F14" s="4">
        <v>0</v>
      </c>
      <c r="G14" s="4">
        <v>5131</v>
      </c>
      <c r="H14" s="4">
        <v>0</v>
      </c>
      <c r="I14" s="4">
        <v>153299</v>
      </c>
      <c r="J14" s="4">
        <v>12</v>
      </c>
      <c r="K14" s="4" t="s">
        <v>4</v>
      </c>
      <c r="L14" s="5" t="s">
        <v>13</v>
      </c>
      <c r="M14" s="18"/>
      <c r="N14" s="6" t="str">
        <f t="shared" si="0"/>
        <v/>
      </c>
      <c r="O14" s="18"/>
      <c r="P14" s="6" t="str">
        <f t="shared" si="0"/>
        <v/>
      </c>
      <c r="Q14" s="19"/>
      <c r="R14" s="7" t="str">
        <f t="shared" si="6"/>
        <v/>
      </c>
      <c r="S14" s="8">
        <v>34.9</v>
      </c>
      <c r="T14" s="7">
        <f t="shared" si="1"/>
        <v>1675.2</v>
      </c>
      <c r="U14" s="8">
        <v>2.931</v>
      </c>
      <c r="V14" s="7">
        <f t="shared" si="2"/>
        <v>4493.1899999999996</v>
      </c>
      <c r="W14" s="7">
        <f t="shared" si="3"/>
        <v>6168.3899999999994</v>
      </c>
      <c r="X14" s="7" t="str">
        <f t="shared" si="4"/>
        <v/>
      </c>
      <c r="Y14" s="7" t="str">
        <f t="shared" si="5"/>
        <v/>
      </c>
      <c r="Z14" s="15">
        <f>0%</f>
        <v>0</v>
      </c>
      <c r="AA14" s="14" t="s">
        <v>22</v>
      </c>
      <c r="AB14" s="14" t="s">
        <v>56</v>
      </c>
    </row>
    <row r="15" spans="1:28" ht="22.2" customHeight="1" x14ac:dyDescent="0.3">
      <c r="A15" s="2" t="s">
        <v>14</v>
      </c>
      <c r="B15" s="2" t="s">
        <v>42</v>
      </c>
      <c r="C15" s="2">
        <v>49</v>
      </c>
      <c r="D15" s="3" t="s">
        <v>4</v>
      </c>
      <c r="E15" s="4">
        <v>1806648</v>
      </c>
      <c r="F15" s="4">
        <v>0</v>
      </c>
      <c r="G15" s="4">
        <v>277795</v>
      </c>
      <c r="H15" s="4">
        <v>0</v>
      </c>
      <c r="I15" s="4">
        <v>2084443</v>
      </c>
      <c r="J15" s="4">
        <v>14</v>
      </c>
      <c r="K15" s="4" t="s">
        <v>4</v>
      </c>
      <c r="L15" s="5" t="s">
        <v>13</v>
      </c>
      <c r="M15" s="18"/>
      <c r="N15" s="6" t="str">
        <f t="shared" si="0"/>
        <v/>
      </c>
      <c r="O15" s="18"/>
      <c r="P15" s="6" t="str">
        <f t="shared" si="0"/>
        <v/>
      </c>
      <c r="Q15" s="19"/>
      <c r="R15" s="7" t="str">
        <f t="shared" si="6"/>
        <v/>
      </c>
      <c r="S15" s="8">
        <v>34.9</v>
      </c>
      <c r="T15" s="7">
        <f t="shared" si="1"/>
        <v>23941.4</v>
      </c>
      <c r="U15" s="8">
        <v>2.931</v>
      </c>
      <c r="V15" s="7">
        <f t="shared" si="2"/>
        <v>61095.02</v>
      </c>
      <c r="W15" s="7">
        <f t="shared" si="3"/>
        <v>85036.42</v>
      </c>
      <c r="X15" s="7" t="str">
        <f t="shared" si="4"/>
        <v/>
      </c>
      <c r="Y15" s="7" t="str">
        <f t="shared" si="5"/>
        <v/>
      </c>
      <c r="Z15" s="15">
        <f>0%</f>
        <v>0</v>
      </c>
      <c r="AA15" s="14" t="s">
        <v>51</v>
      </c>
      <c r="AB15" s="14" t="s">
        <v>56</v>
      </c>
    </row>
    <row r="16" spans="1:28" ht="22.2" customHeight="1" x14ac:dyDescent="0.3">
      <c r="A16" s="2" t="s">
        <v>15</v>
      </c>
      <c r="B16" s="2" t="s">
        <v>43</v>
      </c>
      <c r="C16" s="2">
        <v>1</v>
      </c>
      <c r="D16" s="3" t="s">
        <v>4</v>
      </c>
      <c r="E16" s="4">
        <v>114571</v>
      </c>
      <c r="F16" s="4">
        <v>0</v>
      </c>
      <c r="G16" s="4">
        <v>59022</v>
      </c>
      <c r="H16" s="4">
        <v>0</v>
      </c>
      <c r="I16" s="4">
        <v>173593</v>
      </c>
      <c r="J16" s="4">
        <v>12</v>
      </c>
      <c r="K16" s="4" t="s">
        <v>4</v>
      </c>
      <c r="L16" s="5" t="s">
        <v>13</v>
      </c>
      <c r="M16" s="18"/>
      <c r="N16" s="6" t="str">
        <f t="shared" si="0"/>
        <v/>
      </c>
      <c r="O16" s="18"/>
      <c r="P16" s="6" t="str">
        <f t="shared" si="0"/>
        <v/>
      </c>
      <c r="Q16" s="19"/>
      <c r="R16" s="7" t="str">
        <f t="shared" si="6"/>
        <v/>
      </c>
      <c r="S16" s="8">
        <v>194.95</v>
      </c>
      <c r="T16" s="7">
        <f t="shared" si="1"/>
        <v>2339.4</v>
      </c>
      <c r="U16" s="8">
        <v>2.8730000000000002</v>
      </c>
      <c r="V16" s="7">
        <f t="shared" si="2"/>
        <v>4987.33</v>
      </c>
      <c r="W16" s="7">
        <f t="shared" si="3"/>
        <v>7326.73</v>
      </c>
      <c r="X16" s="7" t="str">
        <f t="shared" si="4"/>
        <v/>
      </c>
      <c r="Y16" s="7" t="str">
        <f t="shared" si="5"/>
        <v/>
      </c>
      <c r="Z16" s="15">
        <f>0%</f>
        <v>0</v>
      </c>
      <c r="AA16" s="14" t="s">
        <v>22</v>
      </c>
      <c r="AB16" s="14" t="s">
        <v>53</v>
      </c>
    </row>
    <row r="17" spans="1:28" ht="22.2" customHeight="1" x14ac:dyDescent="0.3">
      <c r="A17" s="2" t="s">
        <v>15</v>
      </c>
      <c r="B17" s="2" t="s">
        <v>43</v>
      </c>
      <c r="C17" s="2">
        <v>16</v>
      </c>
      <c r="D17" s="3" t="s">
        <v>4</v>
      </c>
      <c r="E17" s="4">
        <v>2375026</v>
      </c>
      <c r="F17" s="4">
        <v>0</v>
      </c>
      <c r="G17" s="4">
        <v>674961</v>
      </c>
      <c r="H17" s="4">
        <v>0</v>
      </c>
      <c r="I17" s="4">
        <v>3049987</v>
      </c>
      <c r="J17" s="4">
        <v>14</v>
      </c>
      <c r="K17" s="4" t="s">
        <v>4</v>
      </c>
      <c r="L17" s="5" t="s">
        <v>13</v>
      </c>
      <c r="M17" s="18"/>
      <c r="N17" s="6" t="str">
        <f t="shared" si="0"/>
        <v/>
      </c>
      <c r="O17" s="18"/>
      <c r="P17" s="6" t="str">
        <f t="shared" si="0"/>
        <v/>
      </c>
      <c r="Q17" s="19"/>
      <c r="R17" s="7" t="str">
        <f t="shared" si="6"/>
        <v/>
      </c>
      <c r="S17" s="8">
        <v>194.95</v>
      </c>
      <c r="T17" s="7">
        <f t="shared" si="1"/>
        <v>43668.800000000003</v>
      </c>
      <c r="U17" s="8">
        <v>2.8730000000000002</v>
      </c>
      <c r="V17" s="7">
        <f t="shared" si="2"/>
        <v>87626.13</v>
      </c>
      <c r="W17" s="7">
        <f t="shared" si="3"/>
        <v>131294.93</v>
      </c>
      <c r="X17" s="7" t="str">
        <f t="shared" si="4"/>
        <v/>
      </c>
      <c r="Y17" s="7" t="str">
        <f t="shared" si="5"/>
        <v/>
      </c>
      <c r="Z17" s="15">
        <f>0%</f>
        <v>0</v>
      </c>
      <c r="AA17" s="14" t="s">
        <v>51</v>
      </c>
      <c r="AB17" s="14" t="s">
        <v>53</v>
      </c>
    </row>
    <row r="18" spans="1:28" ht="22.2" customHeight="1" x14ac:dyDescent="0.3">
      <c r="A18" s="2" t="s">
        <v>16</v>
      </c>
      <c r="B18" s="2" t="s">
        <v>44</v>
      </c>
      <c r="C18" s="2">
        <v>10</v>
      </c>
      <c r="D18" s="3">
        <v>1963</v>
      </c>
      <c r="E18" s="4">
        <v>2621671</v>
      </c>
      <c r="F18" s="4">
        <v>0</v>
      </c>
      <c r="G18" s="4">
        <v>10051</v>
      </c>
      <c r="H18" s="4">
        <v>0</v>
      </c>
      <c r="I18" s="4">
        <v>2631722</v>
      </c>
      <c r="J18" s="4">
        <v>12</v>
      </c>
      <c r="K18" s="4">
        <v>365</v>
      </c>
      <c r="L18" s="5" t="s">
        <v>13</v>
      </c>
      <c r="M18" s="18"/>
      <c r="N18" s="6" t="str">
        <f t="shared" si="0"/>
        <v/>
      </c>
      <c r="O18" s="18"/>
      <c r="P18" s="6" t="str">
        <f t="shared" si="0"/>
        <v/>
      </c>
      <c r="Q18" s="19"/>
      <c r="R18" s="7" t="str">
        <f t="shared" si="6"/>
        <v/>
      </c>
      <c r="S18" s="8">
        <v>0.505</v>
      </c>
      <c r="T18" s="7">
        <f t="shared" ref="T18" si="7">ROUND(IF(D18="nd.",C18*S18*J18,(K18*24*D18*S18)/100),2)</f>
        <v>86839.19</v>
      </c>
      <c r="U18" s="8">
        <v>2.605</v>
      </c>
      <c r="V18" s="7">
        <f t="shared" ref="V18" si="8">ROUND(U18*I18/100,2)</f>
        <v>68556.36</v>
      </c>
      <c r="W18" s="7">
        <f t="shared" ref="W18" si="9">T18+V18</f>
        <v>155395.54999999999</v>
      </c>
      <c r="X18" s="7" t="str">
        <f t="shared" ref="X18" si="10">IF(M18&gt;0,R18+W18,"")</f>
        <v/>
      </c>
      <c r="Y18" s="7" t="str">
        <f t="shared" ref="Y18" si="11">IF(M18&gt;0,ROUND(X18*(1+Z18),2),"")</f>
        <v/>
      </c>
      <c r="Z18" s="15">
        <f>0%</f>
        <v>0</v>
      </c>
      <c r="AA18" s="14" t="s">
        <v>22</v>
      </c>
      <c r="AB18" s="14" t="s">
        <v>53</v>
      </c>
    </row>
    <row r="19" spans="1:28" ht="22.2" customHeight="1" x14ac:dyDescent="0.3">
      <c r="A19" s="2" t="s">
        <v>16</v>
      </c>
      <c r="B19" s="2" t="s">
        <v>44</v>
      </c>
      <c r="C19" s="2">
        <v>3</v>
      </c>
      <c r="D19" s="3">
        <v>615</v>
      </c>
      <c r="E19" s="4">
        <v>1013791</v>
      </c>
      <c r="F19" s="4">
        <v>0</v>
      </c>
      <c r="G19" s="4">
        <v>0</v>
      </c>
      <c r="H19" s="4">
        <v>0</v>
      </c>
      <c r="I19" s="4">
        <v>1013791</v>
      </c>
      <c r="J19" s="4">
        <v>14</v>
      </c>
      <c r="K19" s="4">
        <v>426</v>
      </c>
      <c r="L19" s="5" t="s">
        <v>13</v>
      </c>
      <c r="M19" s="18"/>
      <c r="N19" s="6" t="str">
        <f t="shared" si="0"/>
        <v/>
      </c>
      <c r="O19" s="18"/>
      <c r="P19" s="6" t="str">
        <f t="shared" si="0"/>
        <v/>
      </c>
      <c r="Q19" s="19"/>
      <c r="R19" s="7" t="str">
        <f t="shared" si="6"/>
        <v/>
      </c>
      <c r="S19" s="8">
        <v>0.505</v>
      </c>
      <c r="T19" s="7">
        <f t="shared" si="1"/>
        <v>31753.19</v>
      </c>
      <c r="U19" s="8">
        <v>2.605</v>
      </c>
      <c r="V19" s="7">
        <f t="shared" si="2"/>
        <v>26409.26</v>
      </c>
      <c r="W19" s="7">
        <f t="shared" si="3"/>
        <v>58162.45</v>
      </c>
      <c r="X19" s="7" t="str">
        <f t="shared" si="4"/>
        <v/>
      </c>
      <c r="Y19" s="7" t="str">
        <f t="shared" si="5"/>
        <v/>
      </c>
      <c r="Z19" s="15">
        <f>0%</f>
        <v>0</v>
      </c>
      <c r="AA19" s="14" t="s">
        <v>51</v>
      </c>
      <c r="AB19" s="14" t="s">
        <v>53</v>
      </c>
    </row>
    <row r="20" spans="1:28" ht="22.2" customHeight="1" x14ac:dyDescent="0.3">
      <c r="W20" s="11" t="s">
        <v>5</v>
      </c>
      <c r="X20" s="7" t="str">
        <f>IF(SUM(X5:X19)&gt;0,SUM(X5:X19),"")</f>
        <v/>
      </c>
      <c r="Y20" s="7" t="str">
        <f>IF(SUM(Y5:Y19)&gt;0,SUM(Y5:Y19),"")</f>
        <v/>
      </c>
    </row>
    <row r="21" spans="1:28" ht="41.4" customHeight="1" x14ac:dyDescent="0.3">
      <c r="A21" s="25" t="s">
        <v>20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7"/>
    </row>
    <row r="22" spans="1:28" ht="22.8" customHeight="1" x14ac:dyDescent="0.3">
      <c r="A22" s="25" t="s">
        <v>47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7"/>
    </row>
    <row r="23" spans="1:28" ht="21.6" customHeight="1" x14ac:dyDescent="0.3">
      <c r="A23" s="25" t="s">
        <v>58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7"/>
    </row>
    <row r="26" spans="1:28" ht="15.6" customHeight="1" x14ac:dyDescent="0.3"/>
    <row r="27" spans="1:28" ht="15.6" customHeight="1" x14ac:dyDescent="0.3"/>
    <row r="47" spans="15:15" x14ac:dyDescent="0.3">
      <c r="O47" s="10"/>
    </row>
  </sheetData>
  <sheetProtection algorithmName="SHA-512" hashValue="S4DSf0+dTm+csptIUJ15CbmmNitz7fSF8fclpkOCHFcPH57J5gqB/E5KeULm5sQ/QwOlUuRHO3cHWapedleH3w==" saltValue="3h7TEW4io4cn3hjh1IFWsQ==" spinCount="100000" sheet="1" objects="1" scenarios="1"/>
  <protectedRanges>
    <protectedRange sqref="M5:M19 O5:O19" name="Rozstęp3"/>
    <protectedRange sqref="Q5:Q19" name="Rozstęp2"/>
  </protectedRanges>
  <autoFilter ref="A4:AB23" xr:uid="{00000000-0001-0000-0000-000000000000}"/>
  <mergeCells count="18">
    <mergeCell ref="A23:N23"/>
    <mergeCell ref="A21:N21"/>
    <mergeCell ref="A22:N22"/>
    <mergeCell ref="D2:D3"/>
    <mergeCell ref="E2:E3"/>
    <mergeCell ref="F2:F3"/>
    <mergeCell ref="G2:G3"/>
    <mergeCell ref="H2:H3"/>
    <mergeCell ref="M2:R2"/>
    <mergeCell ref="A2:A3"/>
    <mergeCell ref="B2:B3"/>
    <mergeCell ref="C2:C3"/>
    <mergeCell ref="I2:I3"/>
    <mergeCell ref="J2:J3"/>
    <mergeCell ref="K2:K3"/>
    <mergeCell ref="L2:L3"/>
    <mergeCell ref="A1:AB1"/>
    <mergeCell ref="S2:W2"/>
  </mergeCells>
  <phoneticPr fontId="7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3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User4</dc:creator>
  <cp:lastModifiedBy>User4</cp:lastModifiedBy>
  <cp:lastPrinted>2022-09-21T14:33:26Z</cp:lastPrinted>
  <dcterms:created xsi:type="dcterms:W3CDTF">2015-06-05T18:19:34Z</dcterms:created>
  <dcterms:modified xsi:type="dcterms:W3CDTF">2022-09-21T14:35:52Z</dcterms:modified>
</cp:coreProperties>
</file>