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 tabRatio="668"/>
  </bookViews>
  <sheets>
    <sheet name="BUDŻET" sheetId="4" r:id="rId1"/>
    <sheet name="Biuro finansowania oświaty" sheetId="9" r:id="rId2"/>
    <sheet name="Straż Miejska" sheetId="8" r:id="rId3"/>
  </sheets>
  <definedNames>
    <definedName name="_xlnm._FilterDatabase" localSheetId="0" hidden="1">BUDŻET!$AK$10:$AK$27</definedName>
    <definedName name="_xlnm.Print_Area" localSheetId="0">BUDŻET!$AK$7:$BA$27</definedName>
  </definedNames>
  <calcPr calcId="125725"/>
</workbook>
</file>

<file path=xl/calcChain.xml><?xml version="1.0" encoding="utf-8"?>
<calcChain xmlns="http://schemas.openxmlformats.org/spreadsheetml/2006/main">
  <c r="G11" i="4"/>
  <c r="P14" i="8" l="1"/>
  <c r="O14"/>
  <c r="N14"/>
  <c r="L14"/>
  <c r="AH13" s="1"/>
  <c r="AG13" l="1"/>
  <c r="AF13" s="1"/>
  <c r="AE13" s="1"/>
  <c r="AD13"/>
  <c r="AC13"/>
  <c r="AB13"/>
  <c r="AA13"/>
  <c r="Z13"/>
  <c r="Y13"/>
  <c r="X13"/>
  <c r="W13" s="1"/>
  <c r="V13"/>
  <c r="U13"/>
  <c r="T13"/>
  <c r="S13"/>
  <c r="R13"/>
  <c r="L13"/>
  <c r="BA11"/>
  <c r="AZ11"/>
  <c r="AY11"/>
  <c r="AX11"/>
  <c r="AW11"/>
  <c r="AV11"/>
  <c r="AU11"/>
  <c r="AT11"/>
  <c r="AS11" l="1"/>
  <c r="AR11"/>
  <c r="AQ11"/>
  <c r="AH11" l="1"/>
  <c r="AG11"/>
  <c r="AF11"/>
  <c r="AE11" s="1"/>
  <c r="AD11" l="1"/>
  <c r="AC11" s="1"/>
  <c r="AB11" s="1"/>
  <c r="AA11"/>
  <c r="Z11"/>
  <c r="Y11"/>
  <c r="X11"/>
  <c r="W11"/>
  <c r="V11" s="1"/>
  <c r="U11"/>
  <c r="T11"/>
  <c r="S11"/>
  <c r="R11"/>
  <c r="Q11"/>
  <c r="M11"/>
  <c r="L11" s="1"/>
  <c r="K11"/>
  <c r="J11"/>
  <c r="I11"/>
  <c r="H11"/>
  <c r="G11"/>
  <c r="BA10" s="1"/>
  <c r="AZ10" l="1"/>
  <c r="AY10"/>
  <c r="AX10"/>
  <c r="AW10" l="1"/>
  <c r="AV10" s="1"/>
  <c r="AU10" s="1"/>
  <c r="AT10"/>
  <c r="AS10"/>
  <c r="AR10" l="1"/>
  <c r="AQ10" s="1"/>
  <c r="AP10"/>
  <c r="AO10"/>
  <c r="AN10"/>
  <c r="AM10"/>
  <c r="AL10"/>
  <c r="AH10" s="1"/>
  <c r="AG10"/>
  <c r="AF10"/>
  <c r="AE10"/>
  <c r="AD10"/>
  <c r="AC10" l="1"/>
  <c r="AB10" s="1"/>
  <c r="AA10" s="1"/>
  <c r="Z10" s="1"/>
  <c r="Y10"/>
  <c r="X10"/>
  <c r="W10" s="1"/>
  <c r="V10"/>
  <c r="U10"/>
  <c r="T10" l="1"/>
  <c r="S10"/>
  <c r="R10"/>
  <c r="Q10" s="1"/>
  <c r="P10"/>
  <c r="O10"/>
  <c r="N10"/>
  <c r="M10"/>
  <c r="L10" s="1"/>
  <c r="K10" s="1"/>
  <c r="J10" l="1"/>
  <c r="I10" s="1"/>
  <c r="H10"/>
  <c r="G10" s="1"/>
  <c r="BA11" i="9" l="1"/>
  <c r="AZ11"/>
  <c r="AY11"/>
  <c r="AX11"/>
  <c r="AW11"/>
  <c r="AV11"/>
  <c r="AU11" s="1"/>
  <c r="AT11"/>
  <c r="AS11"/>
  <c r="AR11"/>
  <c r="AQ11"/>
  <c r="AH11"/>
  <c r="AG11"/>
  <c r="AF11"/>
  <c r="AE11"/>
  <c r="AD11" s="1"/>
  <c r="AC11" s="1"/>
  <c r="AB11" s="1"/>
  <c r="AA11"/>
  <c r="Z11"/>
  <c r="Y11"/>
  <c r="X11"/>
  <c r="W11" l="1"/>
  <c r="V11"/>
  <c r="U11"/>
  <c r="T11"/>
  <c r="S11"/>
  <c r="R11"/>
  <c r="Q11"/>
  <c r="L11"/>
  <c r="BA10" s="1"/>
  <c r="AZ10"/>
  <c r="AY10"/>
  <c r="AX10"/>
  <c r="AW10"/>
  <c r="AV10" s="1"/>
  <c r="AU10"/>
  <c r="AT10" s="1"/>
  <c r="AS10"/>
  <c r="AR10" s="1"/>
  <c r="AQ10" s="1"/>
  <c r="AP10"/>
  <c r="AO10"/>
  <c r="AN10"/>
  <c r="AM10"/>
  <c r="AL10"/>
  <c r="AH10" s="1"/>
  <c r="AG10"/>
  <c r="AF10" s="1"/>
  <c r="AE10"/>
  <c r="AD10" s="1"/>
  <c r="AC10"/>
  <c r="AB10" s="1"/>
  <c r="AA10" s="1"/>
  <c r="Z10"/>
  <c r="Y10"/>
  <c r="X10"/>
  <c r="W10" s="1"/>
  <c r="V10"/>
  <c r="U10"/>
  <c r="T10" s="1"/>
  <c r="S10"/>
  <c r="R10"/>
  <c r="Q10" s="1"/>
  <c r="P10"/>
  <c r="O10"/>
  <c r="N10"/>
  <c r="M10"/>
  <c r="L10" s="1"/>
  <c r="K10"/>
  <c r="J10"/>
  <c r="I10"/>
  <c r="H10"/>
  <c r="G10"/>
  <c r="AZ6"/>
  <c r="AY6"/>
  <c r="AX6"/>
  <c r="AW6"/>
  <c r="AU6"/>
  <c r="AT6" s="1"/>
  <c r="AS6"/>
  <c r="AR6"/>
  <c r="N5"/>
  <c r="L5" s="1"/>
  <c r="P60" i="4"/>
  <c r="O60"/>
  <c r="N60"/>
  <c r="L60"/>
  <c r="L59"/>
  <c r="BA27"/>
  <c r="AX25"/>
  <c r="AS25"/>
  <c r="AQ25"/>
  <c r="AA25"/>
  <c r="Z25"/>
  <c r="Y25"/>
  <c r="X25"/>
  <c r="U25"/>
  <c r="AU25" s="1"/>
  <c r="AZ25" s="1"/>
  <c r="T25"/>
  <c r="AT25" s="1"/>
  <c r="S25"/>
  <c r="AD25" s="1"/>
  <c r="R25"/>
  <c r="AR25" s="1"/>
  <c r="Q25"/>
  <c r="L25"/>
  <c r="AX24"/>
  <c r="AS24"/>
  <c r="AQ24"/>
  <c r="AA24"/>
  <c r="Z24"/>
  <c r="Y24"/>
  <c r="X24"/>
  <c r="U24"/>
  <c r="AF24" s="1"/>
  <c r="T24"/>
  <c r="AT24" s="1"/>
  <c r="S24"/>
  <c r="R24"/>
  <c r="AR24" s="1"/>
  <c r="Q24"/>
  <c r="L24"/>
  <c r="AX23"/>
  <c r="AS23"/>
  <c r="AQ23"/>
  <c r="AA23"/>
  <c r="Z23"/>
  <c r="Y23"/>
  <c r="X23"/>
  <c r="U23"/>
  <c r="AU23" s="1"/>
  <c r="AZ23" s="1"/>
  <c r="T23"/>
  <c r="AT23" s="1"/>
  <c r="S23"/>
  <c r="AD23" s="1"/>
  <c r="R23"/>
  <c r="AR23" s="1"/>
  <c r="Q23"/>
  <c r="L23"/>
  <c r="AX22"/>
  <c r="AS22"/>
  <c r="AQ22"/>
  <c r="AL22"/>
  <c r="AA22"/>
  <c r="Z22"/>
  <c r="Y22"/>
  <c r="X22"/>
  <c r="U22"/>
  <c r="AU22" s="1"/>
  <c r="T22"/>
  <c r="AT22" s="1"/>
  <c r="S22"/>
  <c r="AD22" s="1"/>
  <c r="R22"/>
  <c r="AR22" s="1"/>
  <c r="Q22"/>
  <c r="L22"/>
  <c r="G22"/>
  <c r="AC25" l="1"/>
  <c r="AB25" s="1"/>
  <c r="AC22"/>
  <c r="AB22" s="1"/>
  <c r="AC23"/>
  <c r="AB23" s="1"/>
  <c r="AE24"/>
  <c r="AY24" s="1"/>
  <c r="AU24"/>
  <c r="AZ24" s="1"/>
  <c r="AD24"/>
  <c r="AE23"/>
  <c r="AY23" s="1"/>
  <c r="AB24"/>
  <c r="V22"/>
  <c r="W22" s="1"/>
  <c r="V25"/>
  <c r="W25" s="1"/>
  <c r="V23"/>
  <c r="W23" s="1"/>
  <c r="AC24"/>
  <c r="AX21"/>
  <c r="AS21"/>
  <c r="AQ21"/>
  <c r="AA21"/>
  <c r="Z21"/>
  <c r="Y21"/>
  <c r="X21"/>
  <c r="U21"/>
  <c r="AU21" s="1"/>
  <c r="T21"/>
  <c r="AT21" s="1"/>
  <c r="S21"/>
  <c r="AD21" s="1"/>
  <c r="R21"/>
  <c r="AR21" s="1"/>
  <c r="Q21"/>
  <c r="L21"/>
  <c r="AX20"/>
  <c r="AS20"/>
  <c r="AQ20"/>
  <c r="AA20"/>
  <c r="Z20"/>
  <c r="Y20"/>
  <c r="X20"/>
  <c r="U20"/>
  <c r="AF20" s="1"/>
  <c r="T20"/>
  <c r="AT20" s="1"/>
  <c r="S20"/>
  <c r="R20"/>
  <c r="AR20" s="1"/>
  <c r="Q20"/>
  <c r="L20"/>
  <c r="AZ19"/>
  <c r="AX19"/>
  <c r="AS19"/>
  <c r="AA19"/>
  <c r="Z19"/>
  <c r="Y19"/>
  <c r="X19"/>
  <c r="U19"/>
  <c r="T19"/>
  <c r="AE19" s="1"/>
  <c r="S19"/>
  <c r="AD19" s="1"/>
  <c r="R19"/>
  <c r="Q19"/>
  <c r="L19"/>
  <c r="AX18"/>
  <c r="AS18"/>
  <c r="AQ18"/>
  <c r="AA18"/>
  <c r="Z18"/>
  <c r="Y18"/>
  <c r="X18"/>
  <c r="U18"/>
  <c r="AU18" s="1"/>
  <c r="AZ18" s="1"/>
  <c r="T18"/>
  <c r="AT18" s="1"/>
  <c r="S18"/>
  <c r="AD18" s="1"/>
  <c r="R18"/>
  <c r="AR18" s="1"/>
  <c r="Q18"/>
  <c r="L18"/>
  <c r="AX17"/>
  <c r="AS17"/>
  <c r="AQ17"/>
  <c r="AD17"/>
  <c r="AA17"/>
  <c r="Z17"/>
  <c r="Y17"/>
  <c r="X17"/>
  <c r="U17"/>
  <c r="AF17" s="1"/>
  <c r="T17"/>
  <c r="AT17" s="1"/>
  <c r="R17"/>
  <c r="AR17" s="1"/>
  <c r="Q17"/>
  <c r="L17"/>
  <c r="AX16"/>
  <c r="AS16"/>
  <c r="AQ16"/>
  <c r="AA16"/>
  <c r="Z16"/>
  <c r="Y16"/>
  <c r="X16"/>
  <c r="U16"/>
  <c r="AU16" s="1"/>
  <c r="AZ16" s="1"/>
  <c r="T16"/>
  <c r="AT16" s="1"/>
  <c r="S16"/>
  <c r="AD16" s="1"/>
  <c r="R16"/>
  <c r="AC16" s="1"/>
  <c r="Q16"/>
  <c r="L16"/>
  <c r="AA15"/>
  <c r="Z15"/>
  <c r="Y15"/>
  <c r="X15"/>
  <c r="U15"/>
  <c r="AF15" s="1"/>
  <c r="T15"/>
  <c r="S15"/>
  <c r="R15"/>
  <c r="AC15" s="1"/>
  <c r="Q15"/>
  <c r="L15"/>
  <c r="AX14"/>
  <c r="AS14"/>
  <c r="AQ14"/>
  <c r="AA14"/>
  <c r="Z14"/>
  <c r="Y14"/>
  <c r="X14"/>
  <c r="U14"/>
  <c r="AU14" s="1"/>
  <c r="AZ14" s="1"/>
  <c r="T14"/>
  <c r="AT14" s="1"/>
  <c r="S14"/>
  <c r="AD14" s="1"/>
  <c r="R14"/>
  <c r="AR14" s="1"/>
  <c r="Q14"/>
  <c r="L14"/>
  <c r="AX13"/>
  <c r="AS13"/>
  <c r="AQ13"/>
  <c r="AA13"/>
  <c r="Z13"/>
  <c r="Y13"/>
  <c r="X13"/>
  <c r="U13"/>
  <c r="AU13" s="1"/>
  <c r="AZ13" s="1"/>
  <c r="T13"/>
  <c r="AT13" s="1"/>
  <c r="S13"/>
  <c r="R13"/>
  <c r="AC13" s="1"/>
  <c r="Q13"/>
  <c r="L13"/>
  <c r="AX12"/>
  <c r="AS12"/>
  <c r="AQ12"/>
  <c r="AA12"/>
  <c r="Z12"/>
  <c r="Y12"/>
  <c r="X12"/>
  <c r="U12"/>
  <c r="AF12" s="1"/>
  <c r="T12"/>
  <c r="AE12" s="1"/>
  <c r="S12"/>
  <c r="R12"/>
  <c r="AR12" s="1"/>
  <c r="Q12"/>
  <c r="L12"/>
  <c r="AX11"/>
  <c r="AS11"/>
  <c r="AP11"/>
  <c r="AL11"/>
  <c r="AA11"/>
  <c r="Z11"/>
  <c r="Y11"/>
  <c r="X11"/>
  <c r="T11"/>
  <c r="AT11" s="1"/>
  <c r="S11"/>
  <c r="AD11" s="1"/>
  <c r="R11"/>
  <c r="AR11" s="1"/>
  <c r="AQ11" s="1"/>
  <c r="Q11"/>
  <c r="K11"/>
  <c r="L11" s="1"/>
  <c r="AE15" l="1"/>
  <c r="AR16"/>
  <c r="AF13"/>
  <c r="AE13" s="1"/>
  <c r="AY13" s="1"/>
  <c r="AC19"/>
  <c r="AW25"/>
  <c r="AV25" s="1"/>
  <c r="AD12"/>
  <c r="AC12" s="1"/>
  <c r="AG12" s="1"/>
  <c r="AW23"/>
  <c r="BA23" s="1"/>
  <c r="AB16"/>
  <c r="AU17"/>
  <c r="AZ17" s="1"/>
  <c r="AD15"/>
  <c r="AC14"/>
  <c r="AW14" s="1"/>
  <c r="AE17"/>
  <c r="AY17" s="1"/>
  <c r="AC17"/>
  <c r="AB17" s="1"/>
  <c r="V19"/>
  <c r="W19" s="1"/>
  <c r="AE20"/>
  <c r="AD20" s="1"/>
  <c r="AW22"/>
  <c r="AV22" s="1"/>
  <c r="AB12"/>
  <c r="AB13"/>
  <c r="AB19"/>
  <c r="AY12"/>
  <c r="AV14"/>
  <c r="AV23"/>
  <c r="AU12"/>
  <c r="AZ12" s="1"/>
  <c r="AC20"/>
  <c r="AW20" s="1"/>
  <c r="AR13"/>
  <c r="AB14"/>
  <c r="V16"/>
  <c r="W16" s="1"/>
  <c r="AE11"/>
  <c r="AY11" s="1"/>
  <c r="V14"/>
  <c r="W14" s="1"/>
  <c r="AC21"/>
  <c r="AB21" s="1"/>
  <c r="AD13"/>
  <c r="AW16"/>
  <c r="V18"/>
  <c r="W18" s="1"/>
  <c r="AT12"/>
  <c r="AW13"/>
  <c r="AU20"/>
  <c r="AZ20" s="1"/>
  <c r="AC11"/>
  <c r="AB15"/>
  <c r="AC18"/>
  <c r="V21"/>
  <c r="W21" s="1"/>
  <c r="AG24"/>
  <c r="AH24" s="1"/>
  <c r="AW24"/>
  <c r="AX10"/>
  <c r="AG15" l="1"/>
  <c r="AH15" s="1"/>
  <c r="AV16"/>
  <c r="AG13"/>
  <c r="AH13" s="1"/>
  <c r="AW12"/>
  <c r="BA12" s="1"/>
  <c r="AV20"/>
  <c r="AV12"/>
  <c r="AH12"/>
  <c r="AW17"/>
  <c r="BA17" s="1"/>
  <c r="AW21"/>
  <c r="AY20"/>
  <c r="BA20" s="1"/>
  <c r="AB18"/>
  <c r="AV21"/>
  <c r="AV17"/>
  <c r="AB11"/>
  <c r="AW11"/>
  <c r="AV24"/>
  <c r="BA24"/>
  <c r="AV13"/>
  <c r="BA13"/>
  <c r="AB20"/>
  <c r="AG20"/>
  <c r="AW18"/>
  <c r="AT10"/>
  <c r="AS10"/>
  <c r="AR10"/>
  <c r="AQ10"/>
  <c r="AQ26" s="1"/>
  <c r="AP10"/>
  <c r="AO10"/>
  <c r="AN10"/>
  <c r="AM10"/>
  <c r="AL10"/>
  <c r="AP26" l="1"/>
  <c r="AO26"/>
  <c r="AN26"/>
  <c r="AV18"/>
  <c r="AW10"/>
  <c r="AM26"/>
  <c r="AL26" s="1"/>
  <c r="AH20"/>
  <c r="AD10"/>
  <c r="AC10"/>
  <c r="AB10"/>
  <c r="AA10"/>
  <c r="Z10"/>
  <c r="Y10"/>
  <c r="X10"/>
  <c r="T10" l="1"/>
  <c r="S10"/>
  <c r="R10" l="1"/>
  <c r="Q10" l="1"/>
  <c r="P10"/>
  <c r="O10"/>
  <c r="N10"/>
  <c r="M10"/>
  <c r="L10"/>
  <c r="K10"/>
  <c r="J10"/>
  <c r="I10"/>
  <c r="H10"/>
  <c r="G10"/>
  <c r="U11" l="1"/>
  <c r="V11" s="1"/>
  <c r="W11" s="1"/>
  <c r="V12"/>
  <c r="W12" s="1"/>
  <c r="V13"/>
  <c r="W13" s="1"/>
  <c r="AE14"/>
  <c r="AY14" s="1"/>
  <c r="AE16"/>
  <c r="AE18"/>
  <c r="AY18" s="1"/>
  <c r="BA18" s="1"/>
  <c r="AE21"/>
  <c r="AY21" s="1"/>
  <c r="AZ21"/>
  <c r="AE22"/>
  <c r="AY22" s="1"/>
  <c r="AZ22"/>
  <c r="AE25"/>
  <c r="AX6"/>
  <c r="AW6"/>
  <c r="AT6"/>
  <c r="AS6"/>
  <c r="AR6"/>
  <c r="U10"/>
  <c r="N5" s="1"/>
  <c r="L5"/>
  <c r="AF14"/>
  <c r="AF19"/>
  <c r="AG19" s="1"/>
  <c r="AH19" s="1"/>
  <c r="AF18"/>
  <c r="V15"/>
  <c r="W15" s="1"/>
  <c r="V20"/>
  <c r="W20" s="1"/>
  <c r="V17"/>
  <c r="W17" s="1"/>
  <c r="AF25"/>
  <c r="AF22"/>
  <c r="AF16"/>
  <c r="AF21"/>
  <c r="V24"/>
  <c r="W24" s="1"/>
  <c r="AG17"/>
  <c r="AH17" s="1"/>
  <c r="AF23"/>
  <c r="AG23" s="1"/>
  <c r="AH23" s="1"/>
  <c r="AF11" l="1"/>
  <c r="AG11" s="1"/>
  <c r="AG22"/>
  <c r="AH22" s="1"/>
  <c r="AG21"/>
  <c r="AH21" s="1"/>
  <c r="W10"/>
  <c r="AU11"/>
  <c r="AZ11" s="1"/>
  <c r="BA11" s="1"/>
  <c r="AG18"/>
  <c r="AH18" s="1"/>
  <c r="BA22"/>
  <c r="AF10"/>
  <c r="AG25"/>
  <c r="AH25" s="1"/>
  <c r="AE10"/>
  <c r="V10"/>
  <c r="AG14"/>
  <c r="AH14" s="1"/>
  <c r="AY25"/>
  <c r="BA25" s="1"/>
  <c r="BA14"/>
  <c r="AG16"/>
  <c r="AH16" s="1"/>
  <c r="BA21"/>
  <c r="AY16"/>
  <c r="BA16" s="1"/>
  <c r="AZ10" l="1"/>
  <c r="AZ6" s="1"/>
  <c r="AV11"/>
  <c r="AV10" s="1"/>
  <c r="AV6" s="1"/>
  <c r="AU10"/>
  <c r="AU6" s="1"/>
  <c r="BA10"/>
  <c r="BA6" s="1"/>
  <c r="AY10"/>
  <c r="AY6" s="1"/>
  <c r="AH11"/>
  <c r="AH10" s="1"/>
  <c r="AG10"/>
</calcChain>
</file>

<file path=xl/sharedStrings.xml><?xml version="1.0" encoding="utf-8"?>
<sst xmlns="http://schemas.openxmlformats.org/spreadsheetml/2006/main" count="513" uniqueCount="119">
  <si>
    <t>Powiatowy Urząd Pracy</t>
  </si>
  <si>
    <t>Straż Miejska</t>
  </si>
  <si>
    <t>BORPA</t>
  </si>
  <si>
    <t>Zarząd Dróg Miejskich i Komunikacji Publicznej</t>
  </si>
  <si>
    <t>Zespół Żłobków Miejskich</t>
  </si>
  <si>
    <t>Administracja Domów Miejskich Sp. z o.o</t>
  </si>
  <si>
    <t>Zespół Domów Pomocy Społecznej i Ośrodków Wsparcia</t>
  </si>
  <si>
    <t>Bydgoskie Centrum Informacji</t>
  </si>
  <si>
    <t>Schronisko dla Zwierząt</t>
  </si>
  <si>
    <t>Komenda Miejska Państwowej Straży Pożarnej</t>
  </si>
  <si>
    <t>Bydgoskie Biuro Finansów Oświaty</t>
  </si>
  <si>
    <t>Bydgoski Zespół Placówek Opiekuńczo - Wychowawczych</t>
  </si>
  <si>
    <t>gaz</t>
  </si>
  <si>
    <t>energia elektryczna</t>
  </si>
  <si>
    <t>energia cieplna</t>
  </si>
  <si>
    <t>woda</t>
  </si>
  <si>
    <t>§ 426</t>
  </si>
  <si>
    <t xml:space="preserve">Wykonanie 2017r. </t>
  </si>
  <si>
    <t>Nazwa jednostki</t>
  </si>
  <si>
    <t>Jednostki oświatowe</t>
  </si>
  <si>
    <t>wydatki łącznie (budżet +RDO)</t>
  </si>
  <si>
    <t>Urząd Miasta - WOA</t>
  </si>
  <si>
    <t>Urząd Miasta -Wydział Informatyki</t>
  </si>
  <si>
    <t>Urząd Miasta -Wydział Gospodarki Komunalnej (fontanny)</t>
  </si>
  <si>
    <t>Urząd Miasta -Rady osiedli</t>
  </si>
  <si>
    <t>Wykonanie 2016r.</t>
  </si>
  <si>
    <t xml:space="preserve">Wykonanie I półrocze 2018r. </t>
  </si>
  <si>
    <t>suma § 426  Plan na II półrocze 2018 ZZE</t>
  </si>
  <si>
    <t xml:space="preserve">Plan II półrocze 2018r. </t>
  </si>
  <si>
    <t>wzrost zapotrzebowania w stosunku do roku bazowego % 2017</t>
  </si>
  <si>
    <t xml:space="preserve">suma § 426  I półrocze 2018 </t>
  </si>
  <si>
    <t>Plan I półrocze 2019r. ZZE</t>
  </si>
  <si>
    <t>Plan II półrocze 2019r. ZZE</t>
  </si>
  <si>
    <t xml:space="preserve">Wzrost ceny z uwagi na wzrost ceny energi czynne </t>
  </si>
  <si>
    <t>wzrost zapotrzebowania w stosunku do roku bazoweg 2017 o 47%</t>
  </si>
  <si>
    <t xml:space="preserve">Wzrost cen rocznie o 3% rocznie względem 2017 </t>
  </si>
  <si>
    <t>wzrost zużycia</t>
  </si>
  <si>
    <t>Wzrost ceny może ulec zmianie z uwagi na nowy przetarg na zakup energii w stosunku do 2018</t>
  </si>
  <si>
    <t>do wyjaśnienia</t>
  </si>
  <si>
    <t>19.09.2018</t>
  </si>
  <si>
    <t>wzrost ceny  %</t>
  </si>
  <si>
    <t xml:space="preserve">Wzrost cen rocznie o ? % rocznie względem 2017 </t>
  </si>
  <si>
    <t>wzrost ceny  ?%</t>
  </si>
  <si>
    <t xml:space="preserve">do zrobienia </t>
  </si>
  <si>
    <t xml:space="preserve">korekta kalkulacji dla WOA bład w oblicznieach i dopytać sięo budynki wchodziące w skaład </t>
  </si>
  <si>
    <t>błedy</t>
  </si>
  <si>
    <t>w ilości zużytego ciepłą przedstawionego przez jednostkę</t>
  </si>
  <si>
    <t>zawyżone  dane  o żuzycie energii elektrycznej ze względu na brak umowy kompleksowej w 2018</t>
  </si>
  <si>
    <t>w 2019 planowana rozbuowa możliwość zwiększenia zużycia energi cieplnej i elektrycznej o 20%</t>
  </si>
  <si>
    <t>odchylenie wartości skarbnika od wartości przedstawieonych przez jednostkę w danych za rok 2017 i pierwsze półrocze 2018 dlaczego i jakie wartości są prawidłowe.</t>
  </si>
  <si>
    <t>LEGENDA</t>
  </si>
  <si>
    <t>DANE NIE ZGADZJĄCE SIĘ Z DANYMI ARCHIWALNYMI KTÓRE POSIADAM</t>
  </si>
  <si>
    <t>ZBIERZNE DANE ARCHIWALNE</t>
  </si>
  <si>
    <t>WARTOŚCI PO KOREKTACH ZZE</t>
  </si>
  <si>
    <t>DANE O DUŻYCH PRZEKROCZENIACH WZGLĘAM OBLICZŃ ZZE DO WERYFIKACJI</t>
  </si>
  <si>
    <t>suma § 426  Plan 2018 ZZE</t>
  </si>
  <si>
    <t>suma § 426  I półrocze 2019</t>
  </si>
  <si>
    <t xml:space="preserve">suma § 426  II półrocze 2019 </t>
  </si>
  <si>
    <t>Wzrost cen rocznie o ? % rocznie względem 2018 drugiego półrocza</t>
  </si>
  <si>
    <t>wzrost ceny %</t>
  </si>
  <si>
    <t>suma § 426 wykonanie za 2017</t>
  </si>
  <si>
    <t xml:space="preserve"> suma wydatków i planowane wydatki</t>
  </si>
  <si>
    <t>suma § 426 wykonanie za 2016</t>
  </si>
  <si>
    <t>01.01.2018 do 31.12.2018 r.</t>
  </si>
  <si>
    <t>01.01.2019 do 31.12.2019</t>
  </si>
  <si>
    <t>suma § 426  2018</t>
  </si>
  <si>
    <t>suma § 426  2019</t>
  </si>
  <si>
    <t>dlaczego wydział informatyki płąci za energię w PGE ?</t>
  </si>
  <si>
    <t>- basen przy ZSO nr 5, który zostanie oddanych do użytku od kwietnia 2019r.(projekt WIM)</t>
  </si>
  <si>
    <t>Lp.</t>
  </si>
  <si>
    <t>? Siedizaba ZWO</t>
  </si>
  <si>
    <t>09.10.2018</t>
  </si>
  <si>
    <t>01.2018</t>
  </si>
  <si>
    <t>HSW „Łuczniczka” Torbyd</t>
  </si>
  <si>
    <t>w budowie  09/10.2019</t>
  </si>
  <si>
    <t>w budowie  10.2018</t>
  </si>
  <si>
    <t>w budowie 09.2019</t>
  </si>
  <si>
    <t>do wyjaśnienia 09.10.2018</t>
  </si>
  <si>
    <t>opis uwag</t>
  </si>
  <si>
    <t>09.2018</t>
  </si>
  <si>
    <t>wyjaśniono</t>
  </si>
  <si>
    <t>policzyłem budżet ujety powyżej u wysłano liste z tabelką</t>
  </si>
  <si>
    <t>6.1</t>
  </si>
  <si>
    <t>wzrost stosunek do zużycia z drugiego półrocza 2017</t>
  </si>
  <si>
    <t>baedrzo dobrze wypełnione ale na razie bazuje na naszej formatcie która bezie dla wszytkich i w przyszłości bęziemy ją kodyfikować pod kontem zużycia energii.</t>
  </si>
  <si>
    <t>dlaczego prognozują wzrost kosztów za ogrzewanie w 2018 roku o 30% względem 2017 jak będzie elektryczne ?</t>
  </si>
  <si>
    <t>do doddania do odpowiedniej jednostki w budowie 07.2019</t>
  </si>
  <si>
    <t>Muzeum</t>
  </si>
  <si>
    <t xml:space="preserve"> sala gimnastyczna ZSE lektronicznych przy ul.Karłowicza (projekt WIM)</t>
  </si>
  <si>
    <t xml:space="preserve">pawilon ZŻM (do jakiej jednostki) </t>
  </si>
  <si>
    <r>
      <t xml:space="preserve">ul. Brzozowej, który zostanie oddany do użytku  (projekt w ZŻM) do </t>
    </r>
    <r>
      <rPr>
        <sz val="10"/>
        <color rgb="FFFF0000"/>
        <rFont val="Times New Roman"/>
        <family val="1"/>
        <charset val="238"/>
      </rPr>
      <t>jakiej jednostki dodać</t>
    </r>
  </si>
  <si>
    <r>
      <t xml:space="preserve">budynek Muzeum przy ul. Gdańskiej 4 ( projekt w MOB muzełum okręgowe w bydgoszczy ). </t>
    </r>
    <r>
      <rPr>
        <sz val="11"/>
        <color rgb="FFFF0000"/>
        <rFont val="Calibri"/>
        <family val="2"/>
        <charset val="238"/>
        <scheme val="minor"/>
      </rPr>
      <t xml:space="preserve">Do jakiej jednostki </t>
    </r>
  </si>
  <si>
    <t xml:space="preserve">uruchomione lub data planowanego uruchomienia </t>
  </si>
  <si>
    <t>status sprawy</t>
  </si>
  <si>
    <t>utworzono</t>
  </si>
  <si>
    <t>data utworzenia wprowadzenia wartości</t>
  </si>
  <si>
    <t>Straż miejska dane podane przez Panią Lidia Charendziak</t>
  </si>
  <si>
    <t>Straż miejska gospodarka odpadami Panią Lidia Charendziak</t>
  </si>
  <si>
    <t>wzrost ceny o 10%</t>
  </si>
  <si>
    <t>wzrost cen o 2%</t>
  </si>
  <si>
    <t>wzrost w stosunku do 2017 o 38%</t>
  </si>
  <si>
    <t xml:space="preserve">wzrost ceny w o 37 % w stosunku od  2017  </t>
  </si>
  <si>
    <t>wzrost ceny w drugim półroczu 2018 o 37% w stosunku o 2017</t>
  </si>
  <si>
    <t>wzrost cen energii w drugim pólroczu 2018 0 23% w stosunku do roku 2017</t>
  </si>
  <si>
    <r>
      <t xml:space="preserve">siedziba ZWO przy ul. Gdańskiej 5 - oddanie do użytku w październiku br ( projekt w WIM) </t>
    </r>
    <r>
      <rPr>
        <sz val="10"/>
        <color rgb="FFFF0000"/>
        <rFont val="Times New Roman"/>
        <family val="1"/>
        <charset val="238"/>
      </rPr>
      <t>do jakiej jenostki dodać</t>
    </r>
  </si>
  <si>
    <t>03.2019</t>
  </si>
  <si>
    <t>7.1</t>
  </si>
  <si>
    <t>12.10.2018</t>
  </si>
  <si>
    <t>basen przy ZSO nr 5</t>
  </si>
  <si>
    <t xml:space="preserve">w budowie 04.2019 dodano do planu </t>
  </si>
  <si>
    <t>dodano o planu 12.10.2018</t>
  </si>
  <si>
    <r>
      <t xml:space="preserve">Torbyd - lodowisko -wzrost zużycia mediów przez jednostkę </t>
    </r>
    <r>
      <rPr>
        <sz val="10"/>
        <color rgb="FF00B050"/>
        <rFont val="Times New Roman"/>
        <family val="1"/>
        <charset val="238"/>
      </rPr>
      <t>HSW "łuczniczka"</t>
    </r>
  </si>
  <si>
    <t>szcowane koszta zużycia mediów za nowe inwezstycje w 2019 r</t>
  </si>
  <si>
    <t>wzrost porcentowy cen mediów w stosunku do roku 2017 spowodowany wzrostem zużycia mediów oraz cen.</t>
  </si>
  <si>
    <t>do oddania</t>
  </si>
  <si>
    <t>po konsultacji z Panią ... z uwagi na chrakter wydatków strzazy miejskiej przyjmujemy odpiwednie wartości i wzrosty cen</t>
  </si>
  <si>
    <t>Straż miejska dane podane przez Panią</t>
  </si>
  <si>
    <t xml:space="preserve">Straż miejska gospodarka odpadami Panią </t>
  </si>
  <si>
    <t>dlaczego w analizie Pani kierownik  są rozbierzności ale nie we wszykiech wartościach oraz dlaczego ja mam zużycie gazu a ona nie</t>
  </si>
</sst>
</file>

<file path=xl/styles.xml><?xml version="1.0" encoding="utf-8"?>
<styleSheet xmlns="http://schemas.openxmlformats.org/spreadsheetml/2006/main">
  <numFmts count="1">
    <numFmt numFmtId="6" formatCode="#,##0\ &quot;zł&quot;;[Red]\-#,##0\ &quot;zł&quot;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B05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3" fillId="0" borderId="0" xfId="0" applyFont="1" applyAlignment="1">
      <alignment horizontal="left"/>
    </xf>
    <xf numFmtId="4" fontId="1" fillId="0" borderId="0" xfId="0" applyNumberFormat="1" applyFont="1" applyFill="1"/>
    <xf numFmtId="0" fontId="1" fillId="0" borderId="0" xfId="0" applyFont="1" applyFill="1"/>
    <xf numFmtId="4" fontId="0" fillId="0" borderId="0" xfId="0" applyNumberFormat="1"/>
    <xf numFmtId="0" fontId="2" fillId="0" borderId="1" xfId="0" applyFont="1" applyFill="1" applyBorder="1" applyAlignment="1">
      <alignment horizontal="justify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5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/>
    </xf>
    <xf numFmtId="4" fontId="2" fillId="0" borderId="0" xfId="0" applyNumberFormat="1" applyFont="1" applyBorder="1" applyAlignment="1">
      <alignment vertical="top" wrapText="1"/>
    </xf>
    <xf numFmtId="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/>
    <xf numFmtId="0" fontId="2" fillId="2" borderId="0" xfId="0" applyFont="1" applyFill="1" applyBorder="1" applyAlignment="1">
      <alignment horizontal="justify"/>
    </xf>
    <xf numFmtId="4" fontId="2" fillId="2" borderId="0" xfId="0" applyNumberFormat="1" applyFont="1" applyFill="1" applyBorder="1" applyAlignment="1"/>
    <xf numFmtId="0" fontId="2" fillId="3" borderId="0" xfId="0" applyFont="1" applyFill="1" applyBorder="1" applyAlignment="1">
      <alignment horizontal="justify"/>
    </xf>
    <xf numFmtId="4" fontId="2" fillId="3" borderId="0" xfId="0" applyNumberFormat="1" applyFont="1" applyFill="1" applyBorder="1" applyAlignment="1"/>
    <xf numFmtId="0" fontId="4" fillId="0" borderId="0" xfId="0" applyFont="1" applyBorder="1" applyAlignment="1">
      <alignment horizontal="justify"/>
    </xf>
    <xf numFmtId="4" fontId="4" fillId="0" borderId="0" xfId="0" applyNumberFormat="1" applyFont="1" applyBorder="1" applyAlignment="1"/>
    <xf numFmtId="0" fontId="4" fillId="0" borderId="0" xfId="0" applyFont="1" applyBorder="1" applyAlignment="1">
      <alignment horizontal="justify" vertical="center"/>
    </xf>
    <xf numFmtId="0" fontId="1" fillId="4" borderId="0" xfId="0" applyFont="1" applyFill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1" fillId="6" borderId="0" xfId="0" applyNumberFormat="1" applyFont="1" applyFill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/>
    </xf>
    <xf numFmtId="0" fontId="7" fillId="0" borderId="1" xfId="0" applyFont="1" applyBorder="1" applyAlignment="1">
      <alignment horizontal="left"/>
    </xf>
    <xf numFmtId="4" fontId="7" fillId="2" borderId="1" xfId="0" applyNumberFormat="1" applyFont="1" applyFill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0" fontId="1" fillId="5" borderId="0" xfId="0" applyFont="1" applyFill="1"/>
    <xf numFmtId="0" fontId="1" fillId="7" borderId="0" xfId="0" applyFont="1" applyFill="1"/>
    <xf numFmtId="0" fontId="5" fillId="0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/>
    </xf>
    <xf numFmtId="4" fontId="6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 vertical="top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/>
    </xf>
    <xf numFmtId="4" fontId="8" fillId="2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4" fontId="10" fillId="2" borderId="1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top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8" fillId="2" borderId="3" xfId="0" applyNumberFormat="1" applyFont="1" applyFill="1" applyBorder="1" applyAlignment="1">
      <alignment horizontal="right" vertical="center"/>
    </xf>
    <xf numFmtId="4" fontId="8" fillId="2" borderId="3" xfId="0" applyNumberFormat="1" applyFont="1" applyFill="1" applyBorder="1" applyAlignment="1">
      <alignment horizontal="right"/>
    </xf>
    <xf numFmtId="4" fontId="10" fillId="2" borderId="1" xfId="0" applyNumberFormat="1" applyFont="1" applyFill="1" applyBorder="1" applyAlignment="1">
      <alignment horizontal="right" vertical="center"/>
    </xf>
    <xf numFmtId="4" fontId="8" fillId="0" borderId="3" xfId="0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/>
    </xf>
    <xf numFmtId="4" fontId="8" fillId="0" borderId="3" xfId="0" applyNumberFormat="1" applyFont="1" applyBorder="1" applyAlignment="1">
      <alignment horizontal="right" vertical="center"/>
    </xf>
    <xf numFmtId="4" fontId="8" fillId="0" borderId="3" xfId="0" applyNumberFormat="1" applyFont="1" applyFill="1" applyBorder="1" applyAlignment="1">
      <alignment horizontal="right" vertical="center"/>
    </xf>
    <xf numFmtId="4" fontId="9" fillId="0" borderId="3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6" fillId="4" borderId="1" xfId="0" applyFont="1" applyFill="1" applyBorder="1" applyAlignment="1">
      <alignment horizontal="justify"/>
    </xf>
    <xf numFmtId="4" fontId="9" fillId="4" borderId="1" xfId="0" applyNumberFormat="1" applyFont="1" applyFill="1" applyBorder="1" applyAlignment="1">
      <alignment horizontal="right"/>
    </xf>
    <xf numFmtId="4" fontId="5" fillId="4" borderId="1" xfId="0" applyNumberFormat="1" applyFont="1" applyFill="1" applyBorder="1" applyAlignment="1">
      <alignment horizontal="right"/>
    </xf>
    <xf numFmtId="4" fontId="10" fillId="4" borderId="1" xfId="0" applyNumberFormat="1" applyFont="1" applyFill="1" applyBorder="1" applyAlignment="1">
      <alignment horizontal="right"/>
    </xf>
    <xf numFmtId="4" fontId="6" fillId="4" borderId="1" xfId="0" applyNumberFormat="1" applyFont="1" applyFill="1" applyBorder="1" applyAlignment="1">
      <alignment horizontal="right"/>
    </xf>
    <xf numFmtId="4" fontId="8" fillId="4" borderId="3" xfId="0" applyNumberFormat="1" applyFont="1" applyFill="1" applyBorder="1" applyAlignment="1">
      <alignment horizontal="right"/>
    </xf>
    <xf numFmtId="4" fontId="10" fillId="4" borderId="1" xfId="0" applyNumberFormat="1" applyFont="1" applyFill="1" applyBorder="1" applyAlignment="1">
      <alignment horizontal="right" vertical="center"/>
    </xf>
    <xf numFmtId="4" fontId="8" fillId="4" borderId="1" xfId="0" applyNumberFormat="1" applyFont="1" applyFill="1" applyBorder="1" applyAlignment="1">
      <alignment horizontal="right"/>
    </xf>
    <xf numFmtId="0" fontId="6" fillId="4" borderId="1" xfId="0" applyFont="1" applyFill="1" applyBorder="1" applyAlignment="1">
      <alignment horizontal="center" vertical="center" wrapText="1"/>
    </xf>
    <xf numFmtId="4" fontId="1" fillId="0" borderId="0" xfId="0" applyNumberFormat="1" applyFont="1" applyBorder="1"/>
    <xf numFmtId="0" fontId="1" fillId="7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4" fontId="5" fillId="0" borderId="1" xfId="0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4" fontId="1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4" fontId="1" fillId="0" borderId="0" xfId="0" applyNumberFormat="1" applyFont="1" applyFill="1" applyBorder="1"/>
    <xf numFmtId="0" fontId="2" fillId="0" borderId="0" xfId="0" applyFont="1" applyFill="1" applyBorder="1" applyAlignment="1">
      <alignment horizontal="justify"/>
    </xf>
    <xf numFmtId="4" fontId="2" fillId="0" borderId="0" xfId="0" applyNumberFormat="1" applyFont="1" applyFill="1" applyBorder="1" applyAlignment="1"/>
    <xf numFmtId="0" fontId="2" fillId="0" borderId="0" xfId="0" applyFont="1" applyFill="1" applyBorder="1"/>
    <xf numFmtId="4" fontId="4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justify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4" fontId="2" fillId="4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" fontId="7" fillId="4" borderId="1" xfId="0" applyNumberFormat="1" applyFont="1" applyFill="1" applyBorder="1" applyAlignment="1">
      <alignment horizontal="right"/>
    </xf>
    <xf numFmtId="6" fontId="1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justify" vertical="center"/>
    </xf>
    <xf numFmtId="4" fontId="9" fillId="4" borderId="1" xfId="0" applyNumberFormat="1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right" vertical="center"/>
    </xf>
    <xf numFmtId="4" fontId="4" fillId="4" borderId="1" xfId="0" applyNumberFormat="1" applyFont="1" applyFill="1" applyBorder="1" applyAlignment="1">
      <alignment horizontal="right" vertical="center"/>
    </xf>
    <xf numFmtId="4" fontId="7" fillId="4" borderId="1" xfId="0" applyNumberFormat="1" applyFont="1" applyFill="1" applyBorder="1" applyAlignment="1">
      <alignment horizontal="right" vertical="center"/>
    </xf>
    <xf numFmtId="4" fontId="6" fillId="4" borderId="1" xfId="0" applyNumberFormat="1" applyFont="1" applyFill="1" applyBorder="1" applyAlignment="1">
      <alignment horizontal="right" vertical="center"/>
    </xf>
    <xf numFmtId="4" fontId="8" fillId="4" borderId="3" xfId="0" applyNumberFormat="1" applyFont="1" applyFill="1" applyBorder="1" applyAlignment="1">
      <alignment horizontal="right" vertical="center"/>
    </xf>
    <xf numFmtId="4" fontId="8" fillId="4" borderId="1" xfId="0" applyNumberFormat="1" applyFont="1" applyFill="1" applyBorder="1" applyAlignment="1">
      <alignment horizontal="right" vertical="center"/>
    </xf>
    <xf numFmtId="0" fontId="1" fillId="4" borderId="0" xfId="0" applyFont="1" applyFill="1" applyAlignment="1">
      <alignment vertical="center"/>
    </xf>
    <xf numFmtId="0" fontId="1" fillId="5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right"/>
    </xf>
    <xf numFmtId="0" fontId="1" fillId="4" borderId="1" xfId="0" applyFont="1" applyFill="1" applyBorder="1"/>
    <xf numFmtId="4" fontId="1" fillId="4" borderId="1" xfId="0" applyNumberFormat="1" applyFont="1" applyFill="1" applyBorder="1"/>
    <xf numFmtId="4" fontId="1" fillId="4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justify" vertical="center"/>
    </xf>
    <xf numFmtId="4" fontId="9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" fontId="13" fillId="0" borderId="1" xfId="0" applyNumberFormat="1" applyFont="1" applyBorder="1"/>
    <xf numFmtId="4" fontId="14" fillId="0" borderId="0" xfId="0" applyNumberFormat="1" applyFont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 vertical="center"/>
    </xf>
    <xf numFmtId="4" fontId="8" fillId="2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1" fillId="0" borderId="1" xfId="0" applyFont="1" applyFill="1" applyBorder="1"/>
    <xf numFmtId="0" fontId="1" fillId="8" borderId="0" xfId="0" applyFont="1" applyFill="1" applyAlignment="1">
      <alignment horizontal="center"/>
    </xf>
    <xf numFmtId="0" fontId="6" fillId="8" borderId="1" xfId="0" applyFont="1" applyFill="1" applyBorder="1" applyAlignment="1">
      <alignment horizontal="justify"/>
    </xf>
    <xf numFmtId="4" fontId="9" fillId="8" borderId="1" xfId="0" applyNumberFormat="1" applyFont="1" applyFill="1" applyBorder="1" applyAlignment="1">
      <alignment horizontal="right"/>
    </xf>
    <xf numFmtId="4" fontId="5" fillId="8" borderId="1" xfId="0" applyNumberFormat="1" applyFont="1" applyFill="1" applyBorder="1" applyAlignment="1">
      <alignment horizontal="right"/>
    </xf>
    <xf numFmtId="4" fontId="10" fillId="8" borderId="1" xfId="0" applyNumberFormat="1" applyFont="1" applyFill="1" applyBorder="1" applyAlignment="1">
      <alignment horizontal="right"/>
    </xf>
    <xf numFmtId="4" fontId="6" fillId="8" borderId="1" xfId="0" applyNumberFormat="1" applyFont="1" applyFill="1" applyBorder="1" applyAlignment="1">
      <alignment horizontal="right"/>
    </xf>
    <xf numFmtId="4" fontId="8" fillId="8" borderId="3" xfId="0" applyNumberFormat="1" applyFont="1" applyFill="1" applyBorder="1" applyAlignment="1">
      <alignment horizontal="right"/>
    </xf>
    <xf numFmtId="4" fontId="7" fillId="8" borderId="1" xfId="0" applyNumberFormat="1" applyFont="1" applyFill="1" applyBorder="1" applyAlignment="1">
      <alignment horizontal="right"/>
    </xf>
    <xf numFmtId="4" fontId="10" fillId="8" borderId="1" xfId="0" applyNumberFormat="1" applyFont="1" applyFill="1" applyBorder="1" applyAlignment="1">
      <alignment horizontal="right" vertical="center"/>
    </xf>
    <xf numFmtId="4" fontId="8" fillId="8" borderId="1" xfId="0" applyNumberFormat="1" applyFont="1" applyFill="1" applyBorder="1" applyAlignment="1">
      <alignment horizontal="right"/>
    </xf>
    <xf numFmtId="4" fontId="1" fillId="8" borderId="0" xfId="0" applyNumberFormat="1" applyFont="1" applyFill="1"/>
    <xf numFmtId="4" fontId="9" fillId="8" borderId="1" xfId="0" applyNumberFormat="1" applyFont="1" applyFill="1" applyBorder="1" applyAlignment="1">
      <alignment horizontal="right" vertical="center"/>
    </xf>
    <xf numFmtId="4" fontId="5" fillId="8" borderId="1" xfId="0" applyNumberFormat="1" applyFont="1" applyFill="1" applyBorder="1" applyAlignment="1">
      <alignment horizontal="right" vertical="center"/>
    </xf>
    <xf numFmtId="4" fontId="6" fillId="8" borderId="1" xfId="0" applyNumberFormat="1" applyFont="1" applyFill="1" applyBorder="1" applyAlignment="1">
      <alignment horizontal="right" vertical="center"/>
    </xf>
    <xf numFmtId="4" fontId="8" fillId="8" borderId="1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8" borderId="0" xfId="0" applyFont="1" applyFill="1"/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5"/>
  <sheetViews>
    <sheetView tabSelected="1" topLeftCell="A19" zoomScaleNormal="100" workbookViewId="0">
      <selection activeCell="B32" sqref="B32"/>
    </sheetView>
  </sheetViews>
  <sheetFormatPr defaultColWidth="9.140625" defaultRowHeight="15"/>
  <cols>
    <col min="1" max="1" width="103.42578125" style="1" customWidth="1"/>
    <col min="2" max="2" width="19.140625" style="1" customWidth="1"/>
    <col min="3" max="3" width="33" style="1" customWidth="1"/>
    <col min="4" max="4" width="21" style="5" customWidth="1"/>
    <col min="5" max="5" width="14.28515625" style="1" customWidth="1"/>
    <col min="6" max="6" width="55.85546875" style="1" customWidth="1"/>
    <col min="7" max="7" width="20.42578125" style="1" customWidth="1"/>
    <col min="8" max="8" width="22" style="1" customWidth="1"/>
    <col min="9" max="9" width="14.5703125" style="1" customWidth="1"/>
    <col min="10" max="10" width="13" style="1" customWidth="1"/>
    <col min="11" max="11" width="13.140625" style="1" customWidth="1"/>
    <col min="12" max="12" width="20.7109375" style="5" customWidth="1"/>
    <col min="13" max="13" width="15.28515625" style="2" customWidth="1"/>
    <col min="14" max="14" width="15.5703125" style="1" customWidth="1"/>
    <col min="15" max="15" width="14.140625" style="1" customWidth="1"/>
    <col min="16" max="16" width="14.5703125" style="1" customWidth="1"/>
    <col min="17" max="17" width="13.140625" style="1" customWidth="1"/>
    <col min="18" max="18" width="14.7109375" style="1" customWidth="1"/>
    <col min="19" max="19" width="14.28515625" style="1" customWidth="1"/>
    <col min="20" max="20" width="14" style="1" customWidth="1"/>
    <col min="21" max="21" width="16.42578125" style="1" customWidth="1"/>
    <col min="22" max="23" width="14" style="1" customWidth="1"/>
    <col min="24" max="24" width="15.28515625" style="5" customWidth="1"/>
    <col min="25" max="25" width="17.42578125" style="1" customWidth="1"/>
    <col min="26" max="26" width="14.140625" style="1" customWidth="1"/>
    <col min="27" max="27" width="13.7109375" style="1" customWidth="1"/>
    <col min="28" max="28" width="14.42578125" style="1" customWidth="1"/>
    <col min="29" max="29" width="14.7109375" style="1" customWidth="1"/>
    <col min="30" max="30" width="17.28515625" style="1" customWidth="1"/>
    <col min="31" max="31" width="16" style="1" customWidth="1"/>
    <col min="32" max="32" width="15.42578125" style="1" customWidth="1"/>
    <col min="33" max="33" width="15.5703125" style="1" customWidth="1"/>
    <col min="34" max="34" width="16" style="1" customWidth="1"/>
    <col min="35" max="35" width="14" style="1" customWidth="1"/>
    <col min="36" max="36" width="12.7109375" style="1" bestFit="1" customWidth="1"/>
    <col min="37" max="37" width="57.7109375" style="1" customWidth="1"/>
    <col min="38" max="38" width="16.7109375" style="1" customWidth="1"/>
    <col min="39" max="40" width="13.5703125" style="1" customWidth="1"/>
    <col min="41" max="41" width="13.28515625" style="1" customWidth="1"/>
    <col min="42" max="42" width="12.140625" style="5" customWidth="1"/>
    <col min="43" max="43" width="13.5703125" style="1" customWidth="1"/>
    <col min="44" max="44" width="14.85546875" style="1" customWidth="1"/>
    <col min="45" max="45" width="15.5703125" style="1" customWidth="1"/>
    <col min="46" max="46" width="12.85546875" style="1" customWidth="1"/>
    <col min="47" max="47" width="14.28515625" style="5" customWidth="1"/>
    <col min="48" max="48" width="15.140625" style="1" customWidth="1"/>
    <col min="49" max="49" width="15" style="1" customWidth="1"/>
    <col min="50" max="50" width="15.140625" style="1" customWidth="1"/>
    <col min="51" max="51" width="12.28515625" style="1" customWidth="1"/>
    <col min="52" max="52" width="13.7109375" style="1" customWidth="1"/>
    <col min="53" max="53" width="13.5703125" style="1" customWidth="1"/>
    <col min="54" max="54" width="9.140625" style="1" customWidth="1"/>
    <col min="55" max="16384" width="9.140625" style="1"/>
  </cols>
  <sheetData>
    <row r="1" spans="1:60" ht="57" customHeight="1">
      <c r="P1" s="17" t="s">
        <v>41</v>
      </c>
      <c r="R1" s="16" t="s">
        <v>29</v>
      </c>
      <c r="S1" s="17" t="s">
        <v>33</v>
      </c>
      <c r="T1" s="17" t="s">
        <v>34</v>
      </c>
      <c r="U1" s="17" t="s">
        <v>41</v>
      </c>
      <c r="X1" s="17" t="s">
        <v>29</v>
      </c>
      <c r="Y1" s="17" t="s">
        <v>33</v>
      </c>
      <c r="Z1" s="17" t="s">
        <v>34</v>
      </c>
      <c r="AA1" s="17" t="s">
        <v>35</v>
      </c>
      <c r="AC1" s="16" t="s">
        <v>29</v>
      </c>
      <c r="AD1" s="18" t="s">
        <v>37</v>
      </c>
      <c r="AE1" s="17" t="s">
        <v>58</v>
      </c>
      <c r="AF1" s="17" t="s">
        <v>35</v>
      </c>
    </row>
    <row r="2" spans="1:60" ht="36.75" customHeight="1">
      <c r="P2" s="17" t="s">
        <v>83</v>
      </c>
      <c r="R2" s="17" t="s">
        <v>36</v>
      </c>
      <c r="S2" s="17" t="s">
        <v>36</v>
      </c>
      <c r="T2" s="17" t="s">
        <v>36</v>
      </c>
      <c r="U2" s="17" t="s">
        <v>83</v>
      </c>
      <c r="X2" s="17" t="s">
        <v>36</v>
      </c>
      <c r="Y2" s="17" t="s">
        <v>36</v>
      </c>
      <c r="Z2" s="17" t="s">
        <v>36</v>
      </c>
      <c r="AA2" s="17" t="s">
        <v>36</v>
      </c>
      <c r="AC2" s="17" t="s">
        <v>36</v>
      </c>
      <c r="AD2" s="17" t="s">
        <v>36</v>
      </c>
      <c r="AE2" s="17" t="s">
        <v>36</v>
      </c>
      <c r="AF2" s="17" t="s">
        <v>36</v>
      </c>
      <c r="AS2" s="103"/>
      <c r="AT2" s="15"/>
      <c r="AU2" s="108"/>
      <c r="AV2" s="15"/>
      <c r="AW2" s="15"/>
      <c r="AX2" s="103"/>
    </row>
    <row r="3" spans="1:60">
      <c r="E3" s="5"/>
      <c r="F3" s="5"/>
      <c r="I3" s="42"/>
      <c r="J3" s="1" t="s">
        <v>54</v>
      </c>
      <c r="N3" s="2"/>
      <c r="P3" s="41">
        <v>1.2649999999999999</v>
      </c>
      <c r="R3" s="40">
        <v>1.02</v>
      </c>
      <c r="S3" s="42"/>
      <c r="T3" s="41">
        <v>1.47</v>
      </c>
      <c r="U3" s="41">
        <v>1.2649999999999999</v>
      </c>
      <c r="X3" s="40">
        <v>1</v>
      </c>
      <c r="Y3" s="42">
        <v>1</v>
      </c>
      <c r="Z3" s="41">
        <v>1</v>
      </c>
      <c r="AA3" s="42">
        <v>1</v>
      </c>
      <c r="AB3" s="42"/>
      <c r="AC3" s="40">
        <v>1</v>
      </c>
      <c r="AD3" s="19">
        <v>1</v>
      </c>
      <c r="AE3" s="41">
        <v>1</v>
      </c>
      <c r="AF3" s="41">
        <v>1</v>
      </c>
      <c r="AS3" s="15">
        <v>1.115</v>
      </c>
      <c r="AT3" s="15"/>
      <c r="AU3" s="108"/>
      <c r="AV3" s="15"/>
      <c r="AW3" s="15"/>
      <c r="AX3" s="15">
        <v>1.41</v>
      </c>
    </row>
    <row r="4" spans="1:60">
      <c r="E4" s="5"/>
      <c r="F4" s="5"/>
      <c r="N4" s="2"/>
      <c r="P4" s="15" t="s">
        <v>40</v>
      </c>
      <c r="R4" s="15" t="s">
        <v>59</v>
      </c>
      <c r="S4" s="15" t="s">
        <v>40</v>
      </c>
      <c r="T4" s="15" t="s">
        <v>40</v>
      </c>
      <c r="U4" s="15" t="s">
        <v>40</v>
      </c>
      <c r="X4" s="15" t="s">
        <v>59</v>
      </c>
      <c r="Y4" s="15" t="s">
        <v>40</v>
      </c>
      <c r="Z4" s="15" t="s">
        <v>59</v>
      </c>
      <c r="AA4" s="15" t="s">
        <v>40</v>
      </c>
      <c r="AC4" s="15" t="s">
        <v>59</v>
      </c>
      <c r="AD4" s="19" t="s">
        <v>59</v>
      </c>
      <c r="AE4" s="15" t="s">
        <v>40</v>
      </c>
      <c r="AF4" s="15" t="s">
        <v>42</v>
      </c>
      <c r="AS4" s="15"/>
      <c r="AT4" s="15"/>
      <c r="AU4" s="108"/>
      <c r="AV4" s="15"/>
      <c r="AW4" s="15"/>
      <c r="AX4" s="15"/>
    </row>
    <row r="5" spans="1:60">
      <c r="E5" s="5"/>
      <c r="F5" s="5"/>
      <c r="L5" s="4">
        <f>K10</f>
        <v>6412164.3599999985</v>
      </c>
      <c r="N5" s="2">
        <f>P10+U10</f>
        <v>7420640.2850999981</v>
      </c>
      <c r="P5" s="41">
        <v>1.29</v>
      </c>
      <c r="R5" s="41">
        <v>1.02</v>
      </c>
      <c r="S5" s="43">
        <v>1.38</v>
      </c>
      <c r="T5" s="41">
        <v>1.37</v>
      </c>
      <c r="U5" s="41">
        <v>1.29</v>
      </c>
      <c r="X5" s="41">
        <v>1.01</v>
      </c>
      <c r="Y5" s="43">
        <v>1.23</v>
      </c>
      <c r="Z5" s="41">
        <v>1.37</v>
      </c>
      <c r="AA5" s="41">
        <v>1.0585</v>
      </c>
      <c r="AB5" s="42"/>
      <c r="AC5" s="41">
        <v>1.024513</v>
      </c>
      <c r="AD5" s="19">
        <v>1.306832</v>
      </c>
      <c r="AE5" s="41">
        <v>1</v>
      </c>
      <c r="AF5" s="41">
        <v>1.0586</v>
      </c>
    </row>
    <row r="6" spans="1:60">
      <c r="K6" s="2"/>
      <c r="N6" s="2"/>
      <c r="P6" s="2"/>
      <c r="S6" s="2"/>
      <c r="U6" s="15"/>
      <c r="AK6" s="204" t="s">
        <v>113</v>
      </c>
      <c r="AL6" s="205"/>
      <c r="AM6" s="205"/>
      <c r="AN6" s="205"/>
      <c r="AO6" s="205"/>
      <c r="AP6" s="205"/>
      <c r="AQ6" s="206"/>
      <c r="AR6" s="171">
        <f>(AR10*100)/AM$10</f>
        <v>101.71245185467613</v>
      </c>
      <c r="AS6" s="171">
        <f>(AS10*100)/AN$10</f>
        <v>111.50000000000001</v>
      </c>
      <c r="AT6" s="171">
        <f>(AT10*100)/AO$10</f>
        <v>121.13965309871344</v>
      </c>
      <c r="AU6" s="171">
        <f>(AU10*100)/AP$10</f>
        <v>115.71732742670997</v>
      </c>
      <c r="AV6" s="171">
        <f>(AV10*100)/AQ$10</f>
        <v>107.86270187527751</v>
      </c>
      <c r="AW6" s="171">
        <f>(AW10*100)/AM$10</f>
        <v>104.14421872901906</v>
      </c>
      <c r="AX6" s="171">
        <f>(AX10*100)/AN$10</f>
        <v>141.79420561970181</v>
      </c>
      <c r="AY6" s="171">
        <f>(AY10*100)/AO$10</f>
        <v>137</v>
      </c>
      <c r="AZ6" s="171">
        <f>(AZ10*100)/AP$10</f>
        <v>117.35235819189141</v>
      </c>
      <c r="BA6" s="171">
        <f>(BA10*100)/AQ$10</f>
        <v>124.14210123740226</v>
      </c>
    </row>
    <row r="7" spans="1:60">
      <c r="F7" s="194" t="s">
        <v>18</v>
      </c>
      <c r="G7" s="196" t="s">
        <v>16</v>
      </c>
      <c r="H7" s="197"/>
      <c r="I7" s="197"/>
      <c r="J7" s="197"/>
      <c r="K7" s="197"/>
      <c r="L7" s="198"/>
      <c r="M7" s="196" t="s">
        <v>16</v>
      </c>
      <c r="N7" s="197"/>
      <c r="O7" s="197"/>
      <c r="P7" s="197"/>
      <c r="Q7" s="198"/>
      <c r="R7" s="196" t="s">
        <v>16</v>
      </c>
      <c r="S7" s="197"/>
      <c r="T7" s="197"/>
      <c r="U7" s="197"/>
      <c r="V7" s="197"/>
      <c r="W7" s="55"/>
      <c r="X7" s="196" t="s">
        <v>16</v>
      </c>
      <c r="Y7" s="197"/>
      <c r="Z7" s="197"/>
      <c r="AA7" s="197"/>
      <c r="AB7" s="198"/>
      <c r="AC7" s="196" t="s">
        <v>16</v>
      </c>
      <c r="AD7" s="197"/>
      <c r="AE7" s="197"/>
      <c r="AF7" s="197"/>
      <c r="AG7" s="197"/>
      <c r="AH7" s="198"/>
      <c r="AK7" s="194" t="s">
        <v>18</v>
      </c>
      <c r="AL7" s="195" t="s">
        <v>16</v>
      </c>
      <c r="AM7" s="195"/>
      <c r="AN7" s="195"/>
      <c r="AO7" s="195"/>
      <c r="AP7" s="195"/>
      <c r="AQ7" s="195"/>
      <c r="AR7" s="195" t="s">
        <v>16</v>
      </c>
      <c r="AS7" s="195"/>
      <c r="AT7" s="195"/>
      <c r="AU7" s="195"/>
      <c r="AV7" s="195"/>
      <c r="AW7" s="195" t="s">
        <v>16</v>
      </c>
      <c r="AX7" s="195"/>
      <c r="AY7" s="195"/>
      <c r="AZ7" s="195"/>
      <c r="BA7" s="195"/>
    </row>
    <row r="8" spans="1:60" ht="15" customHeight="1">
      <c r="E8" s="15"/>
      <c r="F8" s="194"/>
      <c r="G8" s="45" t="s">
        <v>25</v>
      </c>
      <c r="H8" s="196" t="s">
        <v>17</v>
      </c>
      <c r="I8" s="197"/>
      <c r="J8" s="197"/>
      <c r="K8" s="197"/>
      <c r="L8" s="198"/>
      <c r="M8" s="199" t="s">
        <v>26</v>
      </c>
      <c r="N8" s="200"/>
      <c r="O8" s="200"/>
      <c r="P8" s="200"/>
      <c r="Q8" s="201"/>
      <c r="R8" s="199" t="s">
        <v>28</v>
      </c>
      <c r="S8" s="200"/>
      <c r="T8" s="200"/>
      <c r="U8" s="201"/>
      <c r="V8" s="202" t="s">
        <v>27</v>
      </c>
      <c r="W8" s="190" t="s">
        <v>55</v>
      </c>
      <c r="X8" s="199" t="s">
        <v>31</v>
      </c>
      <c r="Y8" s="200"/>
      <c r="Z8" s="200"/>
      <c r="AA8" s="200"/>
      <c r="AB8" s="201"/>
      <c r="AC8" s="199" t="s">
        <v>32</v>
      </c>
      <c r="AD8" s="200"/>
      <c r="AE8" s="200"/>
      <c r="AF8" s="200"/>
      <c r="AG8" s="200"/>
      <c r="AH8" s="201"/>
      <c r="AK8" s="194"/>
      <c r="AL8" s="131" t="s">
        <v>25</v>
      </c>
      <c r="AM8" s="195" t="s">
        <v>17</v>
      </c>
      <c r="AN8" s="195"/>
      <c r="AO8" s="195"/>
      <c r="AP8" s="195"/>
      <c r="AQ8" s="195"/>
      <c r="AR8" s="207" t="s">
        <v>63</v>
      </c>
      <c r="AS8" s="207"/>
      <c r="AT8" s="207"/>
      <c r="AU8" s="207"/>
      <c r="AV8" s="207"/>
      <c r="AW8" s="207" t="s">
        <v>64</v>
      </c>
      <c r="AX8" s="207"/>
      <c r="AY8" s="207"/>
      <c r="AZ8" s="207"/>
      <c r="BA8" s="207"/>
    </row>
    <row r="9" spans="1:60" ht="45" customHeight="1">
      <c r="F9" s="192" t="s">
        <v>61</v>
      </c>
      <c r="G9" s="68" t="s">
        <v>62</v>
      </c>
      <c r="H9" s="46" t="s">
        <v>14</v>
      </c>
      <c r="I9" s="46" t="s">
        <v>13</v>
      </c>
      <c r="J9" s="46" t="s">
        <v>12</v>
      </c>
      <c r="K9" s="46" t="s">
        <v>15</v>
      </c>
      <c r="L9" s="68" t="s">
        <v>60</v>
      </c>
      <c r="M9" s="47" t="s">
        <v>14</v>
      </c>
      <c r="N9" s="47" t="s">
        <v>13</v>
      </c>
      <c r="O9" s="47" t="s">
        <v>12</v>
      </c>
      <c r="P9" s="47" t="s">
        <v>15</v>
      </c>
      <c r="Q9" s="66" t="s">
        <v>30</v>
      </c>
      <c r="R9" s="47" t="s">
        <v>14</v>
      </c>
      <c r="S9" s="47" t="s">
        <v>13</v>
      </c>
      <c r="T9" s="47" t="s">
        <v>12</v>
      </c>
      <c r="U9" s="47" t="s">
        <v>15</v>
      </c>
      <c r="V9" s="203"/>
      <c r="W9" s="191"/>
      <c r="X9" s="47" t="s">
        <v>14</v>
      </c>
      <c r="Y9" s="47" t="s">
        <v>13</v>
      </c>
      <c r="Z9" s="47" t="s">
        <v>12</v>
      </c>
      <c r="AA9" s="47" t="s">
        <v>15</v>
      </c>
      <c r="AB9" s="66" t="s">
        <v>56</v>
      </c>
      <c r="AC9" s="47" t="s">
        <v>14</v>
      </c>
      <c r="AD9" s="47" t="s">
        <v>13</v>
      </c>
      <c r="AE9" s="47" t="s">
        <v>12</v>
      </c>
      <c r="AF9" s="47" t="s">
        <v>15</v>
      </c>
      <c r="AG9" s="66" t="s">
        <v>57</v>
      </c>
      <c r="AH9" s="67" t="s">
        <v>55</v>
      </c>
      <c r="AK9" s="194"/>
      <c r="AL9" s="68" t="s">
        <v>62</v>
      </c>
      <c r="AM9" s="46" t="s">
        <v>14</v>
      </c>
      <c r="AN9" s="46" t="s">
        <v>13</v>
      </c>
      <c r="AO9" s="46" t="s">
        <v>12</v>
      </c>
      <c r="AP9" s="46" t="s">
        <v>15</v>
      </c>
      <c r="AQ9" s="68" t="s">
        <v>60</v>
      </c>
      <c r="AR9" s="47" t="s">
        <v>14</v>
      </c>
      <c r="AS9" s="47" t="s">
        <v>13</v>
      </c>
      <c r="AT9" s="47" t="s">
        <v>12</v>
      </c>
      <c r="AU9" s="47" t="s">
        <v>15</v>
      </c>
      <c r="AV9" s="66" t="s">
        <v>65</v>
      </c>
      <c r="AW9" s="47" t="s">
        <v>14</v>
      </c>
      <c r="AX9" s="47" t="s">
        <v>13</v>
      </c>
      <c r="AY9" s="47" t="s">
        <v>12</v>
      </c>
      <c r="AZ9" s="47" t="s">
        <v>15</v>
      </c>
      <c r="BA9" s="67" t="s">
        <v>66</v>
      </c>
    </row>
    <row r="10" spans="1:60" ht="27.75" customHeight="1">
      <c r="A10" s="35" t="s">
        <v>78</v>
      </c>
      <c r="B10" s="17" t="s">
        <v>95</v>
      </c>
      <c r="C10" s="17" t="s">
        <v>93</v>
      </c>
      <c r="D10" s="17" t="s">
        <v>92</v>
      </c>
      <c r="E10" s="35" t="s">
        <v>69</v>
      </c>
      <c r="F10" s="193"/>
      <c r="G10" s="75">
        <f t="shared" ref="G10:AH10" si="0">SUBTOTAL(9,G11:G25)</f>
        <v>58054882.539999992</v>
      </c>
      <c r="H10" s="76">
        <f t="shared" si="0"/>
        <v>27460426.940000001</v>
      </c>
      <c r="I10" s="76">
        <f t="shared" si="0"/>
        <v>23709957.739999998</v>
      </c>
      <c r="J10" s="76">
        <f t="shared" si="0"/>
        <v>2431518.8000000003</v>
      </c>
      <c r="K10" s="76">
        <f t="shared" si="0"/>
        <v>6412164.3599999985</v>
      </c>
      <c r="L10" s="75">
        <f t="shared" si="0"/>
        <v>60014067.840000004</v>
      </c>
      <c r="M10" s="76">
        <f t="shared" si="0"/>
        <v>15820659.849999998</v>
      </c>
      <c r="N10" s="76">
        <f t="shared" si="0"/>
        <v>12215251.5</v>
      </c>
      <c r="O10" s="76">
        <f t="shared" si="0"/>
        <v>1053627.9000000001</v>
      </c>
      <c r="P10" s="76">
        <f t="shared" si="0"/>
        <v>2934661.17</v>
      </c>
      <c r="Q10" s="77">
        <f t="shared" si="0"/>
        <v>32024200.420000002</v>
      </c>
      <c r="R10" s="76">
        <f t="shared" si="0"/>
        <v>12110013.680435998</v>
      </c>
      <c r="S10" s="76">
        <f t="shared" si="0"/>
        <v>15875778.5342</v>
      </c>
      <c r="T10" s="76">
        <f t="shared" si="0"/>
        <v>1887710.5330000003</v>
      </c>
      <c r="U10" s="76">
        <f t="shared" si="0"/>
        <v>4485979.1150999982</v>
      </c>
      <c r="V10" s="76">
        <f t="shared" si="0"/>
        <v>34359481.862736002</v>
      </c>
      <c r="W10" s="76">
        <f t="shared" si="0"/>
        <v>66383682.282735996</v>
      </c>
      <c r="X10" s="76">
        <f t="shared" si="0"/>
        <v>15978866.448499998</v>
      </c>
      <c r="Y10" s="76">
        <f t="shared" si="0"/>
        <v>15024759.345000003</v>
      </c>
      <c r="Z10" s="76">
        <f t="shared" si="0"/>
        <v>1443470.223</v>
      </c>
      <c r="AA10" s="76">
        <f t="shared" si="0"/>
        <v>3106338.8484449987</v>
      </c>
      <c r="AB10" s="76">
        <f t="shared" si="0"/>
        <v>35553434.864945002</v>
      </c>
      <c r="AC10" s="76">
        <f t="shared" si="0"/>
        <v>12406866.44578453</v>
      </c>
      <c r="AD10" s="76">
        <f t="shared" si="0"/>
        <v>20746975.413405653</v>
      </c>
      <c r="AE10" s="76">
        <f t="shared" si="0"/>
        <v>1887710.5330000003</v>
      </c>
      <c r="AF10" s="76">
        <f t="shared" si="0"/>
        <v>4748857.4912448591</v>
      </c>
      <c r="AG10" s="76">
        <f t="shared" si="0"/>
        <v>39790409.883435041</v>
      </c>
      <c r="AH10" s="75">
        <f t="shared" si="0"/>
        <v>75343844.74838005</v>
      </c>
      <c r="AK10" s="131" t="s">
        <v>61</v>
      </c>
      <c r="AL10" s="75">
        <f t="shared" ref="AL10:AZ10" si="1">SUBTOTAL(9,AL11:AL25)</f>
        <v>58054882.539999992</v>
      </c>
      <c r="AM10" s="76">
        <f t="shared" si="1"/>
        <v>27460426.940000001</v>
      </c>
      <c r="AN10" s="76">
        <f t="shared" si="1"/>
        <v>23709957.739999998</v>
      </c>
      <c r="AO10" s="76">
        <f t="shared" si="1"/>
        <v>2431518.8000000003</v>
      </c>
      <c r="AP10" s="76">
        <f t="shared" si="1"/>
        <v>6412164.3599999985</v>
      </c>
      <c r="AQ10" s="75">
        <f t="shared" si="1"/>
        <v>60014067.840000004</v>
      </c>
      <c r="AR10" s="76">
        <f t="shared" si="1"/>
        <v>27930673.530436013</v>
      </c>
      <c r="AS10" s="76">
        <f t="shared" si="1"/>
        <v>26436602.880100004</v>
      </c>
      <c r="AT10" s="76">
        <f t="shared" si="1"/>
        <v>2945533.4393500001</v>
      </c>
      <c r="AU10" s="76">
        <f t="shared" si="1"/>
        <v>7419985.2275999999</v>
      </c>
      <c r="AV10" s="76">
        <f t="shared" si="1"/>
        <v>64732795.077486001</v>
      </c>
      <c r="AW10" s="76">
        <f t="shared" si="1"/>
        <v>28598447.096316073</v>
      </c>
      <c r="AX10" s="76">
        <f t="shared" si="1"/>
        <v>33619346.2302</v>
      </c>
      <c r="AY10" s="76">
        <f t="shared" si="1"/>
        <v>3331180.7560000001</v>
      </c>
      <c r="AZ10" s="76">
        <f t="shared" si="1"/>
        <v>7524826.0876000002</v>
      </c>
      <c r="BA10" s="75">
        <f>SUBTOTAL(9,BA11:BA27)</f>
        <v>74502724.854616076</v>
      </c>
      <c r="BB10" s="137"/>
      <c r="BC10" s="137"/>
    </row>
    <row r="11" spans="1:60" ht="19.5" customHeight="1">
      <c r="A11" s="15" t="s">
        <v>18</v>
      </c>
      <c r="B11" s="15" t="s">
        <v>79</v>
      </c>
      <c r="C11" s="107" t="s">
        <v>94</v>
      </c>
      <c r="D11" s="108"/>
      <c r="E11" s="15">
        <v>1</v>
      </c>
      <c r="F11" s="56" t="s">
        <v>5</v>
      </c>
      <c r="G11" s="72">
        <f>7051597.85+8126998.66</f>
        <v>15178596.51</v>
      </c>
      <c r="H11" s="58">
        <v>10090734.390000001</v>
      </c>
      <c r="I11" s="58">
        <v>720739.44</v>
      </c>
      <c r="J11" s="59">
        <v>146947.62</v>
      </c>
      <c r="K11" s="59">
        <f>4492726.64</f>
        <v>4492726.6399999997</v>
      </c>
      <c r="L11" s="74">
        <f t="shared" ref="L11:L19" si="2">SUM(H11:K11)</f>
        <v>15451148.09</v>
      </c>
      <c r="M11" s="78">
        <v>5804222.54</v>
      </c>
      <c r="N11" s="78">
        <v>362594</v>
      </c>
      <c r="O11" s="79">
        <v>26892</v>
      </c>
      <c r="P11" s="79">
        <v>1934068</v>
      </c>
      <c r="Q11" s="80">
        <f t="shared" ref="Q11:Q16" si="3">SUM(M11:P11)</f>
        <v>8127776.54</v>
      </c>
      <c r="R11" s="60">
        <f>(H11-M11)*(R$5)*R$3</f>
        <v>4459686.9287400004</v>
      </c>
      <c r="S11" s="60">
        <f t="shared" ref="S11:U14" si="4">(I11-N11)*S$5</f>
        <v>494240.70719999989</v>
      </c>
      <c r="T11" s="60">
        <f t="shared" si="4"/>
        <v>164476.19940000001</v>
      </c>
      <c r="U11" s="60">
        <f t="shared" si="4"/>
        <v>3300669.6455999995</v>
      </c>
      <c r="V11" s="50">
        <f t="shared" ref="V11:V19" si="5">U11+T11+S11+R11</f>
        <v>8419073.4809399992</v>
      </c>
      <c r="W11" s="75">
        <f t="shared" ref="W11:W19" si="6">V11+Q11</f>
        <v>16546850.020939998</v>
      </c>
      <c r="X11" s="57">
        <f>M11*X$5*X$3</f>
        <v>5862264.7653999999</v>
      </c>
      <c r="Y11" s="57">
        <f t="shared" ref="Y11:AA14" si="7">N11*Y$5</f>
        <v>445990.62</v>
      </c>
      <c r="Z11" s="64">
        <f t="shared" si="7"/>
        <v>36842.04</v>
      </c>
      <c r="AA11" s="57">
        <f t="shared" si="7"/>
        <v>2047210.9779999999</v>
      </c>
      <c r="AB11" s="81">
        <f t="shared" ref="AB11:AB19" si="8">SUM(X11:AA11)</f>
        <v>8392308.4034000002</v>
      </c>
      <c r="AC11" s="57">
        <f>R11*AC$5*AC$3</f>
        <v>4569007.2344242036</v>
      </c>
      <c r="AD11" s="57">
        <f>(S11)*AD$5</f>
        <v>645889.57187159022</v>
      </c>
      <c r="AE11" s="57">
        <f t="shared" ref="AE11:AE19" si="9">T11*AE$5</f>
        <v>164476.19940000001</v>
      </c>
      <c r="AF11" s="57">
        <f t="shared" ref="AF11:AF19" si="10">U11*AF$5</f>
        <v>3494088.8868321595</v>
      </c>
      <c r="AG11" s="70">
        <f t="shared" ref="AG11:AG19" si="11">SUM(AC11:AF11)</f>
        <v>8873461.8925279528</v>
      </c>
      <c r="AH11" s="82">
        <f t="shared" ref="AH11:AH19" si="12">AG11+AB11</f>
        <v>17265770.295927953</v>
      </c>
      <c r="AK11" s="48" t="s">
        <v>5</v>
      </c>
      <c r="AL11" s="157">
        <f>7051597.85+8126998.66</f>
        <v>15178596.51</v>
      </c>
      <c r="AM11" s="115">
        <v>10090734.390000001</v>
      </c>
      <c r="AN11" s="115">
        <v>720739.44</v>
      </c>
      <c r="AO11" s="115">
        <v>146947.62</v>
      </c>
      <c r="AP11" s="115">
        <f>4492726.64</f>
        <v>4492726.6399999997</v>
      </c>
      <c r="AQ11" s="75">
        <f t="shared" ref="AQ11:AQ18" si="13">SUM(AM11:AP11)</f>
        <v>15451148.09</v>
      </c>
      <c r="AR11" s="159">
        <f t="shared" ref="AR11:AU14" si="14">M11+R11</f>
        <v>10263909.468740001</v>
      </c>
      <c r="AS11" s="159">
        <f>AN11*AS$3</f>
        <v>803624.47559999989</v>
      </c>
      <c r="AT11" s="159">
        <f t="shared" si="14"/>
        <v>191368.19940000001</v>
      </c>
      <c r="AU11" s="159">
        <f t="shared" si="14"/>
        <v>5234737.6455999995</v>
      </c>
      <c r="AV11" s="161">
        <f t="shared" ref="AV11:AV18" si="15">SUM(AR11:AU11)</f>
        <v>16493639.789340001</v>
      </c>
      <c r="AW11" s="159">
        <f t="shared" ref="AW11:AY14" si="16">X11+AC11</f>
        <v>10431271.999824204</v>
      </c>
      <c r="AX11" s="159">
        <f>AN11*AX$3</f>
        <v>1016242.6103999999</v>
      </c>
      <c r="AY11" s="159">
        <f t="shared" si="16"/>
        <v>201318.23940000002</v>
      </c>
      <c r="AZ11" s="159">
        <f>AU11</f>
        <v>5234737.6455999995</v>
      </c>
      <c r="BA11" s="75">
        <f t="shared" ref="BA11:BA18" si="17">SUM(AW11:AZ11)</f>
        <v>16883570.495224204</v>
      </c>
      <c r="BB11" s="137"/>
      <c r="BC11" s="137"/>
    </row>
    <row r="12" spans="1:60" ht="15" customHeight="1">
      <c r="A12" s="15" t="s">
        <v>18</v>
      </c>
      <c r="B12" s="15" t="s">
        <v>79</v>
      </c>
      <c r="C12" s="107" t="s">
        <v>94</v>
      </c>
      <c r="D12" s="108"/>
      <c r="E12" s="15">
        <v>2</v>
      </c>
      <c r="F12" s="56" t="s">
        <v>2</v>
      </c>
      <c r="G12" s="72">
        <v>82588.259999999995</v>
      </c>
      <c r="H12" s="60">
        <v>67962.34</v>
      </c>
      <c r="I12" s="60">
        <v>14313.9</v>
      </c>
      <c r="J12" s="60">
        <v>0</v>
      </c>
      <c r="K12" s="60">
        <v>5065.7</v>
      </c>
      <c r="L12" s="74">
        <f t="shared" si="2"/>
        <v>87341.939999999988</v>
      </c>
      <c r="M12" s="57">
        <v>37928.67</v>
      </c>
      <c r="N12" s="57">
        <v>5733.88</v>
      </c>
      <c r="O12" s="57">
        <v>0</v>
      </c>
      <c r="P12" s="57">
        <v>2599.41</v>
      </c>
      <c r="Q12" s="81">
        <f t="shared" si="3"/>
        <v>46261.959999999992</v>
      </c>
      <c r="R12" s="60">
        <f>(H12-M12)*(R$5)*R$3</f>
        <v>31247.030267999999</v>
      </c>
      <c r="S12" s="60">
        <f t="shared" si="4"/>
        <v>11840.427599999999</v>
      </c>
      <c r="T12" s="60">
        <f t="shared" si="4"/>
        <v>0</v>
      </c>
      <c r="U12" s="60">
        <f t="shared" si="4"/>
        <v>3181.5140999999999</v>
      </c>
      <c r="V12" s="50">
        <f t="shared" si="5"/>
        <v>46268.971967999998</v>
      </c>
      <c r="W12" s="75">
        <f t="shared" si="6"/>
        <v>92530.93196799999</v>
      </c>
      <c r="X12" s="57">
        <f>M12*X$5*X$3</f>
        <v>38307.956699999995</v>
      </c>
      <c r="Y12" s="57">
        <f t="shared" si="7"/>
        <v>7052.6724000000004</v>
      </c>
      <c r="Z12" s="64">
        <f t="shared" si="7"/>
        <v>0</v>
      </c>
      <c r="AA12" s="57">
        <f t="shared" si="7"/>
        <v>2751.4754849999999</v>
      </c>
      <c r="AB12" s="81">
        <f t="shared" si="8"/>
        <v>48112.104585000001</v>
      </c>
      <c r="AC12" s="57">
        <f>R12*AC$5*AC$3</f>
        <v>32012.988720959482</v>
      </c>
      <c r="AD12" s="57">
        <f>(S12)*AD$5</f>
        <v>15473.449681363199</v>
      </c>
      <c r="AE12" s="57">
        <f t="shared" si="9"/>
        <v>0</v>
      </c>
      <c r="AF12" s="57">
        <f t="shared" si="10"/>
        <v>3367.9508262599998</v>
      </c>
      <c r="AG12" s="70">
        <f t="shared" si="11"/>
        <v>50854.389228582681</v>
      </c>
      <c r="AH12" s="82">
        <f t="shared" si="12"/>
        <v>98966.493813582681</v>
      </c>
      <c r="AK12" s="48" t="s">
        <v>2</v>
      </c>
      <c r="AL12" s="157">
        <v>82588.259999999995</v>
      </c>
      <c r="AM12" s="158">
        <v>67962.34</v>
      </c>
      <c r="AN12" s="158">
        <v>14313.9</v>
      </c>
      <c r="AO12" s="158">
        <v>0</v>
      </c>
      <c r="AP12" s="158">
        <v>5065.7</v>
      </c>
      <c r="AQ12" s="75">
        <f t="shared" si="13"/>
        <v>87341.939999999988</v>
      </c>
      <c r="AR12" s="159">
        <f t="shared" si="14"/>
        <v>69175.700268000001</v>
      </c>
      <c r="AS12" s="159">
        <f t="shared" ref="AS12:AS25" si="18">AN12*AS$3</f>
        <v>15959.9985</v>
      </c>
      <c r="AT12" s="159">
        <f t="shared" si="14"/>
        <v>0</v>
      </c>
      <c r="AU12" s="159">
        <f t="shared" si="14"/>
        <v>5780.9241000000002</v>
      </c>
      <c r="AV12" s="161">
        <f t="shared" si="15"/>
        <v>90916.622868000006</v>
      </c>
      <c r="AW12" s="159">
        <f t="shared" si="16"/>
        <v>70320.94542095947</v>
      </c>
      <c r="AX12" s="159">
        <f t="shared" ref="AX12:AX25" si="19">AN12*AX$3</f>
        <v>20182.598999999998</v>
      </c>
      <c r="AY12" s="159">
        <f t="shared" si="16"/>
        <v>0</v>
      </c>
      <c r="AZ12" s="159">
        <f t="shared" ref="AZ12:AZ25" si="20">AU12</f>
        <v>5780.9241000000002</v>
      </c>
      <c r="BA12" s="75">
        <f t="shared" si="17"/>
        <v>96284.468520959475</v>
      </c>
      <c r="BB12" s="137"/>
      <c r="BC12" s="137"/>
    </row>
    <row r="13" spans="1:60" ht="15.75" customHeight="1">
      <c r="A13" s="15" t="s">
        <v>18</v>
      </c>
      <c r="B13" s="15" t="s">
        <v>79</v>
      </c>
      <c r="C13" s="107" t="s">
        <v>94</v>
      </c>
      <c r="D13" s="108"/>
      <c r="E13" s="15">
        <v>3</v>
      </c>
      <c r="F13" s="56" t="s">
        <v>11</v>
      </c>
      <c r="G13" s="72">
        <v>0</v>
      </c>
      <c r="H13" s="60">
        <v>231062.88</v>
      </c>
      <c r="I13" s="60">
        <v>62353.17</v>
      </c>
      <c r="J13" s="60">
        <v>20403.900000000001</v>
      </c>
      <c r="K13" s="60">
        <v>30687.47</v>
      </c>
      <c r="L13" s="74">
        <f t="shared" si="2"/>
        <v>344507.42000000004</v>
      </c>
      <c r="M13" s="57">
        <v>133346.46</v>
      </c>
      <c r="N13" s="57">
        <v>35917.379999999997</v>
      </c>
      <c r="O13" s="57">
        <v>9515.49</v>
      </c>
      <c r="P13" s="57">
        <v>20267.02</v>
      </c>
      <c r="Q13" s="81">
        <f t="shared" si="3"/>
        <v>199046.34999999998</v>
      </c>
      <c r="R13" s="60">
        <f>(H13-M13)*(R$5)*R$3</f>
        <v>101664.16336800001</v>
      </c>
      <c r="S13" s="60">
        <f t="shared" si="4"/>
        <v>36481.390200000002</v>
      </c>
      <c r="T13" s="60">
        <f t="shared" si="4"/>
        <v>14917.121700000003</v>
      </c>
      <c r="U13" s="60">
        <f t="shared" si="4"/>
        <v>13442.380500000001</v>
      </c>
      <c r="V13" s="50">
        <f t="shared" si="5"/>
        <v>166505.05576800002</v>
      </c>
      <c r="W13" s="75">
        <f t="shared" si="6"/>
        <v>365551.405768</v>
      </c>
      <c r="X13" s="57">
        <f>M13*X$5*X$3</f>
        <v>134679.9246</v>
      </c>
      <c r="Y13" s="57">
        <f t="shared" si="7"/>
        <v>44178.377399999998</v>
      </c>
      <c r="Z13" s="64">
        <f t="shared" si="7"/>
        <v>13036.221300000001</v>
      </c>
      <c r="AA13" s="57">
        <f t="shared" si="7"/>
        <v>21452.640670000001</v>
      </c>
      <c r="AB13" s="81">
        <f t="shared" si="8"/>
        <v>213347.16396999999</v>
      </c>
      <c r="AC13" s="57">
        <f>R13*AC$5*AC$3</f>
        <v>104156.25700463979</v>
      </c>
      <c r="AD13" s="57">
        <f>(S13)*AD$5</f>
        <v>47675.048117846403</v>
      </c>
      <c r="AE13" s="57">
        <f t="shared" si="9"/>
        <v>14917.121700000003</v>
      </c>
      <c r="AF13" s="57">
        <f t="shared" si="10"/>
        <v>14230.103997300001</v>
      </c>
      <c r="AG13" s="70">
        <f t="shared" si="11"/>
        <v>180978.53081978622</v>
      </c>
      <c r="AH13" s="82">
        <f t="shared" si="12"/>
        <v>394325.69478978624</v>
      </c>
      <c r="AI13" s="2"/>
      <c r="AK13" s="48" t="s">
        <v>11</v>
      </c>
      <c r="AL13" s="157">
        <v>0</v>
      </c>
      <c r="AM13" s="158">
        <v>231062.88</v>
      </c>
      <c r="AN13" s="158">
        <v>62353.17</v>
      </c>
      <c r="AO13" s="158">
        <v>20403.900000000001</v>
      </c>
      <c r="AP13" s="158">
        <v>30687.47</v>
      </c>
      <c r="AQ13" s="75">
        <f t="shared" si="13"/>
        <v>344507.42000000004</v>
      </c>
      <c r="AR13" s="159">
        <f t="shared" si="14"/>
        <v>235010.623368</v>
      </c>
      <c r="AS13" s="159">
        <f t="shared" si="18"/>
        <v>69523.784549999997</v>
      </c>
      <c r="AT13" s="159">
        <f t="shared" si="14"/>
        <v>24432.611700000001</v>
      </c>
      <c r="AU13" s="159">
        <f t="shared" si="14"/>
        <v>33709.400500000003</v>
      </c>
      <c r="AV13" s="161">
        <f t="shared" si="15"/>
        <v>362676.42011800001</v>
      </c>
      <c r="AW13" s="159">
        <f t="shared" si="16"/>
        <v>238836.1816046398</v>
      </c>
      <c r="AX13" s="159">
        <f t="shared" si="19"/>
        <v>87917.969699999987</v>
      </c>
      <c r="AY13" s="159">
        <f t="shared" si="16"/>
        <v>27953.343000000004</v>
      </c>
      <c r="AZ13" s="159">
        <f t="shared" si="20"/>
        <v>33709.400500000003</v>
      </c>
      <c r="BA13" s="75">
        <f t="shared" si="17"/>
        <v>388416.89480463974</v>
      </c>
      <c r="BB13" s="137"/>
      <c r="BC13" s="137"/>
    </row>
    <row r="14" spans="1:60" s="5" customFormat="1" ht="15" customHeight="1">
      <c r="A14" s="108" t="s">
        <v>18</v>
      </c>
      <c r="B14" s="108" t="s">
        <v>79</v>
      </c>
      <c r="C14" s="108" t="s">
        <v>94</v>
      </c>
      <c r="D14" s="108"/>
      <c r="E14" s="108">
        <v>4</v>
      </c>
      <c r="F14" s="48" t="s">
        <v>10</v>
      </c>
      <c r="G14" s="73">
        <v>46919.78</v>
      </c>
      <c r="H14" s="65">
        <v>84404.01</v>
      </c>
      <c r="I14" s="65">
        <v>85085.17</v>
      </c>
      <c r="J14" s="65">
        <v>0</v>
      </c>
      <c r="K14" s="65">
        <v>9590.4699999999993</v>
      </c>
      <c r="L14" s="69">
        <f t="shared" si="2"/>
        <v>179079.65</v>
      </c>
      <c r="M14" s="64">
        <v>39953.42</v>
      </c>
      <c r="N14" s="64">
        <v>44574.76</v>
      </c>
      <c r="O14" s="64">
        <v>0</v>
      </c>
      <c r="P14" s="64">
        <v>3863.36</v>
      </c>
      <c r="Q14" s="83">
        <f t="shared" si="3"/>
        <v>88391.54</v>
      </c>
      <c r="R14" s="65">
        <f>(H14-M14)*(R$5)*R$3</f>
        <v>46246.393835999996</v>
      </c>
      <c r="S14" s="65">
        <f t="shared" si="4"/>
        <v>55904.365799999992</v>
      </c>
      <c r="T14" s="65">
        <f t="shared" si="4"/>
        <v>0</v>
      </c>
      <c r="U14" s="65">
        <f t="shared" si="4"/>
        <v>7387.9718999999986</v>
      </c>
      <c r="V14" s="52">
        <f t="shared" si="5"/>
        <v>109538.73153599998</v>
      </c>
      <c r="W14" s="75">
        <f t="shared" si="6"/>
        <v>197930.27153599996</v>
      </c>
      <c r="X14" s="64">
        <f>M14*X$5*X$3</f>
        <v>40352.9542</v>
      </c>
      <c r="Y14" s="64">
        <f t="shared" si="7"/>
        <v>54826.9548</v>
      </c>
      <c r="Z14" s="64">
        <f t="shared" si="7"/>
        <v>0</v>
      </c>
      <c r="AA14" s="64">
        <f t="shared" si="7"/>
        <v>4089.3665599999999</v>
      </c>
      <c r="AB14" s="83">
        <f t="shared" si="8"/>
        <v>99269.275559999995</v>
      </c>
      <c r="AC14" s="64">
        <f>R14*AC$5*AC$3</f>
        <v>47380.031688101866</v>
      </c>
      <c r="AD14" s="64">
        <f>(S14)*AD$5</f>
        <v>73057.614167145584</v>
      </c>
      <c r="AE14" s="64">
        <f t="shared" si="9"/>
        <v>0</v>
      </c>
      <c r="AF14" s="64">
        <f t="shared" si="10"/>
        <v>7820.9070533399981</v>
      </c>
      <c r="AG14" s="71">
        <f t="shared" si="11"/>
        <v>128258.55290858744</v>
      </c>
      <c r="AH14" s="75">
        <f t="shared" si="12"/>
        <v>227527.82846858742</v>
      </c>
      <c r="AJ14" s="4"/>
      <c r="AK14" s="48" t="s">
        <v>10</v>
      </c>
      <c r="AL14" s="157">
        <v>46919.78</v>
      </c>
      <c r="AM14" s="158">
        <v>84404.01</v>
      </c>
      <c r="AN14" s="158">
        <v>85085.17</v>
      </c>
      <c r="AO14" s="158">
        <v>0</v>
      </c>
      <c r="AP14" s="158">
        <v>9590.4699999999993</v>
      </c>
      <c r="AQ14" s="75">
        <f t="shared" si="13"/>
        <v>179079.65</v>
      </c>
      <c r="AR14" s="159">
        <f t="shared" si="14"/>
        <v>86199.813835999987</v>
      </c>
      <c r="AS14" s="159">
        <f t="shared" si="18"/>
        <v>94869.964550000004</v>
      </c>
      <c r="AT14" s="159">
        <f t="shared" si="14"/>
        <v>0</v>
      </c>
      <c r="AU14" s="159">
        <f t="shared" si="14"/>
        <v>11251.331899999999</v>
      </c>
      <c r="AV14" s="161">
        <f t="shared" si="15"/>
        <v>192321.11028599998</v>
      </c>
      <c r="AW14" s="159">
        <f t="shared" si="16"/>
        <v>87732.985888101859</v>
      </c>
      <c r="AX14" s="159">
        <f t="shared" si="19"/>
        <v>119970.0897</v>
      </c>
      <c r="AY14" s="159">
        <f t="shared" si="16"/>
        <v>0</v>
      </c>
      <c r="AZ14" s="159">
        <f t="shared" si="20"/>
        <v>11251.331899999999</v>
      </c>
      <c r="BA14" s="75">
        <f t="shared" si="17"/>
        <v>218954.40748810186</v>
      </c>
      <c r="BB14" s="138"/>
      <c r="BC14" s="138"/>
    </row>
    <row r="15" spans="1:60" s="189" customFormat="1" ht="15" customHeight="1">
      <c r="A15" s="173" t="s">
        <v>18</v>
      </c>
      <c r="B15" s="173" t="s">
        <v>79</v>
      </c>
      <c r="C15" s="173" t="s">
        <v>94</v>
      </c>
      <c r="D15" s="173"/>
      <c r="E15" s="173">
        <v>7</v>
      </c>
      <c r="F15" s="174" t="s">
        <v>19</v>
      </c>
      <c r="G15" s="175">
        <v>23695656.66</v>
      </c>
      <c r="H15" s="176">
        <v>15400526.92</v>
      </c>
      <c r="I15" s="176">
        <v>5246681.3899999997</v>
      </c>
      <c r="J15" s="176">
        <v>2053381</v>
      </c>
      <c r="K15" s="176">
        <v>1631338.43</v>
      </c>
      <c r="L15" s="177">
        <f t="shared" si="2"/>
        <v>24331927.739999998</v>
      </c>
      <c r="M15" s="178">
        <v>8863952.5399999991</v>
      </c>
      <c r="N15" s="178">
        <v>2848351.06</v>
      </c>
      <c r="O15" s="178">
        <v>872797</v>
      </c>
      <c r="P15" s="178">
        <v>864237.58</v>
      </c>
      <c r="Q15" s="179">
        <f t="shared" si="3"/>
        <v>13449338.18</v>
      </c>
      <c r="R15" s="176">
        <f t="shared" ref="R15:R19" si="21">(H15-M15)*(R$5)*R$3</f>
        <v>6800651.9849520018</v>
      </c>
      <c r="S15" s="176">
        <f>(I15-N15)*S$5</f>
        <v>3309695.8553999993</v>
      </c>
      <c r="T15" s="176">
        <f t="shared" ref="T15:T19" si="22">(J15-O15)*T$5</f>
        <v>1617400.08</v>
      </c>
      <c r="U15" s="176">
        <f t="shared" ref="U15:U19" si="23">(K15-P15)*U$5</f>
        <v>989560.09649999999</v>
      </c>
      <c r="V15" s="180">
        <f t="shared" si="5"/>
        <v>12717308.016852003</v>
      </c>
      <c r="W15" s="181">
        <f t="shared" si="6"/>
        <v>26166646.196852002</v>
      </c>
      <c r="X15" s="178">
        <f t="shared" ref="X15:X19" si="24">M15*X$5*X$3</f>
        <v>8952592.0653999988</v>
      </c>
      <c r="Y15" s="178">
        <f t="shared" ref="Y15:Y19" si="25">N15*Y$5</f>
        <v>3503471.8037999999</v>
      </c>
      <c r="Z15" s="178">
        <f t="shared" ref="Z15:Z19" si="26">O15*Z$5</f>
        <v>1195731.8900000001</v>
      </c>
      <c r="AA15" s="178">
        <f t="shared" ref="AA15:AA19" si="27">P15*AA$5</f>
        <v>914795.4784299999</v>
      </c>
      <c r="AB15" s="179">
        <f t="shared" si="8"/>
        <v>14566591.237629998</v>
      </c>
      <c r="AC15" s="178">
        <f t="shared" ref="AC15:AC19" si="28">R15*AC$5*AC$3</f>
        <v>6967356.3670591302</v>
      </c>
      <c r="AD15" s="178">
        <f t="shared" ref="AD15:AD19" si="29">(S15)*AD$5</f>
        <v>4325216.454104092</v>
      </c>
      <c r="AE15" s="178">
        <f t="shared" si="9"/>
        <v>1617400.08</v>
      </c>
      <c r="AF15" s="178">
        <f t="shared" si="10"/>
        <v>1047548.3181549</v>
      </c>
      <c r="AG15" s="182">
        <f t="shared" si="11"/>
        <v>13957521.219318122</v>
      </c>
      <c r="AH15" s="181">
        <f t="shared" si="12"/>
        <v>28524112.45694812</v>
      </c>
      <c r="AI15" s="183"/>
      <c r="AJ15" s="183"/>
      <c r="AK15" s="174" t="s">
        <v>19</v>
      </c>
      <c r="AL15" s="184">
        <v>23695656.66</v>
      </c>
      <c r="AM15" s="185">
        <v>15400526.92</v>
      </c>
      <c r="AN15" s="185">
        <v>5246681.3899999997</v>
      </c>
      <c r="AO15" s="185">
        <v>2053381</v>
      </c>
      <c r="AP15" s="185">
        <v>1631338.43</v>
      </c>
      <c r="AQ15" s="181">
        <v>24331927.739999998</v>
      </c>
      <c r="AR15" s="186">
        <v>15664604.524952002</v>
      </c>
      <c r="AS15" s="186">
        <v>5850049.7498499993</v>
      </c>
      <c r="AT15" s="186">
        <v>2490197.08</v>
      </c>
      <c r="AU15" s="186">
        <v>1853797.6765000001</v>
      </c>
      <c r="AV15" s="187">
        <v>25858649.031301998</v>
      </c>
      <c r="AW15" s="186">
        <v>16132595.952459129</v>
      </c>
      <c r="AX15" s="186">
        <v>7586126.5766999992</v>
      </c>
      <c r="AY15" s="186">
        <v>2813131.97</v>
      </c>
      <c r="AZ15" s="186">
        <v>1958638.5365000002</v>
      </c>
      <c r="BA15" s="181">
        <v>28490493.035659127</v>
      </c>
      <c r="BB15" s="188"/>
      <c r="BC15" s="188"/>
    </row>
    <row r="16" spans="1:60" ht="15" customHeight="1">
      <c r="A16" s="15" t="s">
        <v>18</v>
      </c>
      <c r="B16" s="15" t="s">
        <v>79</v>
      </c>
      <c r="C16" s="107" t="s">
        <v>94</v>
      </c>
      <c r="D16" s="108"/>
      <c r="E16" s="108">
        <v>8</v>
      </c>
      <c r="F16" s="48" t="s">
        <v>9</v>
      </c>
      <c r="G16" s="73">
        <v>380993.35</v>
      </c>
      <c r="H16" s="65">
        <v>151067.23000000001</v>
      </c>
      <c r="I16" s="65">
        <v>86620.93</v>
      </c>
      <c r="J16" s="65">
        <v>94202.52</v>
      </c>
      <c r="K16" s="65">
        <v>18121.349999999999</v>
      </c>
      <c r="L16" s="69">
        <f t="shared" si="2"/>
        <v>350012.02999999997</v>
      </c>
      <c r="M16" s="64">
        <v>95188.43</v>
      </c>
      <c r="N16" s="64">
        <v>47645.440000000002</v>
      </c>
      <c r="O16" s="64">
        <v>67356.2</v>
      </c>
      <c r="P16" s="64">
        <v>8820.18</v>
      </c>
      <c r="Q16" s="83">
        <f t="shared" si="3"/>
        <v>219010.25</v>
      </c>
      <c r="R16" s="65">
        <f t="shared" si="21"/>
        <v>58136.303520000023</v>
      </c>
      <c r="S16" s="65">
        <f>(I16-N16)*S$5</f>
        <v>53786.17619999998</v>
      </c>
      <c r="T16" s="65">
        <f t="shared" si="22"/>
        <v>36779.45840000001</v>
      </c>
      <c r="U16" s="65">
        <f t="shared" si="23"/>
        <v>11998.509299999998</v>
      </c>
      <c r="V16" s="52">
        <f t="shared" si="5"/>
        <v>160700.44742000001</v>
      </c>
      <c r="W16" s="75">
        <f t="shared" si="6"/>
        <v>379710.69741999998</v>
      </c>
      <c r="X16" s="64">
        <f t="shared" si="24"/>
        <v>96140.314299999998</v>
      </c>
      <c r="Y16" s="64">
        <f t="shared" si="25"/>
        <v>58603.891200000005</v>
      </c>
      <c r="Z16" s="64">
        <f t="shared" si="26"/>
        <v>92277.994000000006</v>
      </c>
      <c r="AA16" s="64">
        <f t="shared" si="27"/>
        <v>9336.160530000001</v>
      </c>
      <c r="AB16" s="83">
        <f t="shared" si="8"/>
        <v>256358.36003000001</v>
      </c>
      <c r="AC16" s="64">
        <f t="shared" si="28"/>
        <v>59561.398728185784</v>
      </c>
      <c r="AD16" s="64">
        <f t="shared" si="29"/>
        <v>70289.496215798368</v>
      </c>
      <c r="AE16" s="64">
        <f t="shared" si="9"/>
        <v>36779.45840000001</v>
      </c>
      <c r="AF16" s="64">
        <f t="shared" si="10"/>
        <v>12701.621944979997</v>
      </c>
      <c r="AG16" s="71">
        <f t="shared" si="11"/>
        <v>179331.97528896417</v>
      </c>
      <c r="AH16" s="75">
        <f t="shared" si="12"/>
        <v>435690.33531896421</v>
      </c>
      <c r="AI16" s="5"/>
      <c r="AJ16" s="5"/>
      <c r="AK16" s="48" t="s">
        <v>9</v>
      </c>
      <c r="AL16" s="157">
        <v>380993.35</v>
      </c>
      <c r="AM16" s="158">
        <v>151067.23000000001</v>
      </c>
      <c r="AN16" s="158">
        <v>86620.93</v>
      </c>
      <c r="AO16" s="158">
        <v>94202.52</v>
      </c>
      <c r="AP16" s="158">
        <v>18121.349999999999</v>
      </c>
      <c r="AQ16" s="75">
        <f t="shared" si="13"/>
        <v>350012.02999999997</v>
      </c>
      <c r="AR16" s="85">
        <f t="shared" ref="AR16:AR18" si="30">M16+R16</f>
        <v>153324.73352000001</v>
      </c>
      <c r="AS16" s="159">
        <f t="shared" si="18"/>
        <v>96582.336949999997</v>
      </c>
      <c r="AT16" s="159">
        <f t="shared" ref="AT16:AT18" si="31">O16+T16</f>
        <v>104135.65840000001</v>
      </c>
      <c r="AU16" s="159">
        <f t="shared" ref="AU16:AU18" si="32">P16+U16</f>
        <v>20818.689299999998</v>
      </c>
      <c r="AV16" s="161">
        <f t="shared" si="15"/>
        <v>374861.41816999996</v>
      </c>
      <c r="AW16" s="85">
        <f t="shared" ref="AW16:AW18" si="33">X16+AC16</f>
        <v>155701.71302818577</v>
      </c>
      <c r="AX16" s="159">
        <f t="shared" si="19"/>
        <v>122135.51129999998</v>
      </c>
      <c r="AY16" s="85">
        <f t="shared" ref="AY16:AY18" si="34">Z16+AE16</f>
        <v>129057.45240000001</v>
      </c>
      <c r="AZ16" s="159">
        <f t="shared" si="20"/>
        <v>20818.689299999998</v>
      </c>
      <c r="BA16" s="75">
        <f t="shared" si="17"/>
        <v>427713.36602818582</v>
      </c>
      <c r="BB16" s="138"/>
      <c r="BC16" s="138"/>
      <c r="BD16" s="5"/>
      <c r="BE16" s="5"/>
      <c r="BF16" s="5"/>
      <c r="BG16" s="5"/>
      <c r="BH16" s="5"/>
    </row>
    <row r="17" spans="1:60" ht="15" customHeight="1">
      <c r="A17" s="108" t="s">
        <v>18</v>
      </c>
      <c r="B17" s="108" t="s">
        <v>79</v>
      </c>
      <c r="C17" s="107" t="s">
        <v>94</v>
      </c>
      <c r="D17" s="108"/>
      <c r="E17" s="108">
        <v>13</v>
      </c>
      <c r="F17" s="61" t="s">
        <v>0</v>
      </c>
      <c r="G17" s="72">
        <v>161501.79</v>
      </c>
      <c r="H17" s="60">
        <v>129331.98</v>
      </c>
      <c r="I17" s="60">
        <v>25754.92</v>
      </c>
      <c r="J17" s="60">
        <v>0</v>
      </c>
      <c r="K17" s="60">
        <v>8633.76</v>
      </c>
      <c r="L17" s="74">
        <f t="shared" si="2"/>
        <v>163720.66</v>
      </c>
      <c r="M17" s="57">
        <v>75582.77</v>
      </c>
      <c r="N17" s="57">
        <v>20743.27</v>
      </c>
      <c r="O17" s="57">
        <v>0</v>
      </c>
      <c r="P17" s="57">
        <v>4282.92</v>
      </c>
      <c r="Q17" s="81">
        <f>SUM(M17:P17)</f>
        <v>100608.96000000001</v>
      </c>
      <c r="R17" s="60">
        <f t="shared" si="21"/>
        <v>55920.678083999992</v>
      </c>
      <c r="S17" s="60">
        <v>20000</v>
      </c>
      <c r="T17" s="60">
        <f t="shared" si="22"/>
        <v>0</v>
      </c>
      <c r="U17" s="60">
        <f t="shared" si="23"/>
        <v>5612.5835999999999</v>
      </c>
      <c r="V17" s="50">
        <f t="shared" si="5"/>
        <v>81533.261683999997</v>
      </c>
      <c r="W17" s="75">
        <f t="shared" si="6"/>
        <v>182142.22168399999</v>
      </c>
      <c r="X17" s="57">
        <f t="shared" si="24"/>
        <v>76338.597699999998</v>
      </c>
      <c r="Y17" s="57">
        <f t="shared" si="25"/>
        <v>25514.222099999999</v>
      </c>
      <c r="Z17" s="64">
        <f t="shared" si="26"/>
        <v>0</v>
      </c>
      <c r="AA17" s="57">
        <f t="shared" si="27"/>
        <v>4533.4708200000005</v>
      </c>
      <c r="AB17" s="81">
        <f t="shared" si="8"/>
        <v>106386.29062</v>
      </c>
      <c r="AC17" s="57">
        <f t="shared" si="28"/>
        <v>57291.461665873081</v>
      </c>
      <c r="AD17" s="57">
        <f t="shared" si="29"/>
        <v>26136.639999999999</v>
      </c>
      <c r="AE17" s="57">
        <f t="shared" si="9"/>
        <v>0</v>
      </c>
      <c r="AF17" s="57">
        <f t="shared" si="10"/>
        <v>5941.4809989599999</v>
      </c>
      <c r="AG17" s="70">
        <f t="shared" si="11"/>
        <v>89369.582664833084</v>
      </c>
      <c r="AH17" s="82">
        <f t="shared" si="12"/>
        <v>195755.8732848331</v>
      </c>
      <c r="AJ17" s="5"/>
      <c r="AK17" s="61" t="s">
        <v>0</v>
      </c>
      <c r="AL17" s="84">
        <v>161501.79</v>
      </c>
      <c r="AM17" s="86">
        <v>129331.98</v>
      </c>
      <c r="AN17" s="86">
        <v>25754.92</v>
      </c>
      <c r="AO17" s="86">
        <v>0</v>
      </c>
      <c r="AP17" s="158">
        <v>8633.76</v>
      </c>
      <c r="AQ17" s="82">
        <f t="shared" si="13"/>
        <v>163720.66</v>
      </c>
      <c r="AR17" s="85">
        <f t="shared" si="30"/>
        <v>131503.448084</v>
      </c>
      <c r="AS17" s="159">
        <f t="shared" si="18"/>
        <v>28716.735799999999</v>
      </c>
      <c r="AT17" s="159">
        <f t="shared" si="31"/>
        <v>0</v>
      </c>
      <c r="AU17" s="159">
        <f t="shared" si="32"/>
        <v>9895.5036</v>
      </c>
      <c r="AV17" s="169">
        <f t="shared" si="15"/>
        <v>170115.68748399999</v>
      </c>
      <c r="AW17" s="85">
        <f t="shared" si="33"/>
        <v>133630.05936587308</v>
      </c>
      <c r="AX17" s="159">
        <f t="shared" si="19"/>
        <v>36314.437199999993</v>
      </c>
      <c r="AY17" s="85">
        <f t="shared" si="34"/>
        <v>0</v>
      </c>
      <c r="AZ17" s="159">
        <f t="shared" si="20"/>
        <v>9895.5036</v>
      </c>
      <c r="BA17" s="82">
        <f t="shared" si="17"/>
        <v>179840.00016587306</v>
      </c>
      <c r="BB17" s="138"/>
      <c r="BC17" s="138"/>
      <c r="BD17" s="5"/>
      <c r="BE17" s="5"/>
      <c r="BF17" s="5"/>
      <c r="BG17" s="5"/>
      <c r="BH17" s="5"/>
    </row>
    <row r="18" spans="1:60" ht="15" customHeight="1">
      <c r="A18" s="108" t="s">
        <v>18</v>
      </c>
      <c r="B18" s="108" t="s">
        <v>79</v>
      </c>
      <c r="C18" s="107" t="s">
        <v>94</v>
      </c>
      <c r="D18" s="108"/>
      <c r="E18" s="108">
        <v>14</v>
      </c>
      <c r="F18" s="56" t="s">
        <v>8</v>
      </c>
      <c r="G18" s="72">
        <v>51495.31</v>
      </c>
      <c r="H18" s="60">
        <v>24168.25</v>
      </c>
      <c r="I18" s="60">
        <v>22380.22</v>
      </c>
      <c r="J18" s="60">
        <v>0</v>
      </c>
      <c r="K18" s="60">
        <v>7443.06</v>
      </c>
      <c r="L18" s="74">
        <f t="shared" si="2"/>
        <v>53991.53</v>
      </c>
      <c r="M18" s="57">
        <v>14473.23</v>
      </c>
      <c r="N18" s="57">
        <v>12403.38</v>
      </c>
      <c r="O18" s="57">
        <v>0</v>
      </c>
      <c r="P18" s="57">
        <v>3888.97</v>
      </c>
      <c r="Q18" s="81">
        <f>SUM(M18:P18)</f>
        <v>30765.58</v>
      </c>
      <c r="R18" s="60">
        <f t="shared" si="21"/>
        <v>10086.698808000001</v>
      </c>
      <c r="S18" s="60">
        <f>(I18-N18)*S$5</f>
        <v>13768.039200000001</v>
      </c>
      <c r="T18" s="60">
        <f t="shared" si="22"/>
        <v>0</v>
      </c>
      <c r="U18" s="60">
        <f t="shared" si="23"/>
        <v>4584.776100000001</v>
      </c>
      <c r="V18" s="50">
        <f t="shared" si="5"/>
        <v>28439.514108000003</v>
      </c>
      <c r="W18" s="75">
        <f t="shared" si="6"/>
        <v>59205.094108000005</v>
      </c>
      <c r="X18" s="57">
        <f t="shared" si="24"/>
        <v>14617.962299999999</v>
      </c>
      <c r="Y18" s="57">
        <f t="shared" si="25"/>
        <v>15256.157399999998</v>
      </c>
      <c r="Z18" s="64">
        <f t="shared" si="26"/>
        <v>0</v>
      </c>
      <c r="AA18" s="57">
        <f t="shared" si="27"/>
        <v>4116.4747449999995</v>
      </c>
      <c r="AB18" s="81">
        <f t="shared" si="8"/>
        <v>33990.594444999995</v>
      </c>
      <c r="AC18" s="57">
        <f t="shared" si="28"/>
        <v>10333.954055880506</v>
      </c>
      <c r="AD18" s="57">
        <f t="shared" si="29"/>
        <v>17992.5142038144</v>
      </c>
      <c r="AE18" s="57">
        <f t="shared" si="9"/>
        <v>0</v>
      </c>
      <c r="AF18" s="57">
        <f t="shared" si="10"/>
        <v>4853.4439794600012</v>
      </c>
      <c r="AG18" s="70">
        <f t="shared" si="11"/>
        <v>33179.91223915491</v>
      </c>
      <c r="AH18" s="82">
        <f t="shared" si="12"/>
        <v>67170.506684154912</v>
      </c>
      <c r="AJ18" s="5"/>
      <c r="AK18" s="48" t="s">
        <v>8</v>
      </c>
      <c r="AL18" s="84">
        <v>51495.31</v>
      </c>
      <c r="AM18" s="86">
        <v>24168.25</v>
      </c>
      <c r="AN18" s="86">
        <v>22380.22</v>
      </c>
      <c r="AO18" s="86">
        <v>0</v>
      </c>
      <c r="AP18" s="158">
        <v>7443.06</v>
      </c>
      <c r="AQ18" s="82">
        <f t="shared" si="13"/>
        <v>53991.53</v>
      </c>
      <c r="AR18" s="85">
        <f t="shared" si="30"/>
        <v>24559.928808000001</v>
      </c>
      <c r="AS18" s="159">
        <f t="shared" si="18"/>
        <v>24953.945299999999</v>
      </c>
      <c r="AT18" s="159">
        <f t="shared" si="31"/>
        <v>0</v>
      </c>
      <c r="AU18" s="159">
        <f t="shared" si="32"/>
        <v>8473.7461000000003</v>
      </c>
      <c r="AV18" s="169">
        <f t="shared" si="15"/>
        <v>57987.620208000008</v>
      </c>
      <c r="AW18" s="85">
        <f t="shared" si="33"/>
        <v>24951.916355880505</v>
      </c>
      <c r="AX18" s="159">
        <f t="shared" si="19"/>
        <v>31556.110199999999</v>
      </c>
      <c r="AY18" s="85">
        <f t="shared" si="34"/>
        <v>0</v>
      </c>
      <c r="AZ18" s="159">
        <f t="shared" si="20"/>
        <v>8473.7461000000003</v>
      </c>
      <c r="BA18" s="82">
        <f t="shared" si="17"/>
        <v>64981.772655880501</v>
      </c>
      <c r="BB18" s="138"/>
      <c r="BC18" s="138"/>
      <c r="BD18" s="5"/>
      <c r="BE18" s="5"/>
      <c r="BF18" s="5"/>
      <c r="BG18" s="5"/>
      <c r="BH18" s="5"/>
    </row>
    <row r="19" spans="1:60" s="33" customFormat="1" ht="15" customHeight="1">
      <c r="A19" s="108" t="s">
        <v>18</v>
      </c>
      <c r="B19" s="108" t="s">
        <v>79</v>
      </c>
      <c r="C19" s="107" t="s">
        <v>94</v>
      </c>
      <c r="D19" s="108"/>
      <c r="E19" s="107">
        <v>15</v>
      </c>
      <c r="F19" s="95" t="s">
        <v>1</v>
      </c>
      <c r="G19" s="96">
        <v>114951.23</v>
      </c>
      <c r="H19" s="97">
        <v>21504.53</v>
      </c>
      <c r="I19" s="97">
        <v>35843.85</v>
      </c>
      <c r="J19" s="97">
        <v>46122.85</v>
      </c>
      <c r="K19" s="97">
        <v>13433.76</v>
      </c>
      <c r="L19" s="98">
        <f t="shared" si="2"/>
        <v>116904.98999999999</v>
      </c>
      <c r="M19" s="133">
        <v>11408.58</v>
      </c>
      <c r="N19" s="133">
        <v>9941.35</v>
      </c>
      <c r="O19" s="133">
        <v>34399.279999999999</v>
      </c>
      <c r="P19" s="133">
        <v>6542.61</v>
      </c>
      <c r="Q19" s="134">
        <f>SUM(M19:P19)</f>
        <v>62291.82</v>
      </c>
      <c r="R19" s="97">
        <f t="shared" si="21"/>
        <v>10503.826379999999</v>
      </c>
      <c r="S19" s="97">
        <f>(I19-N19)*S$5</f>
        <v>35745.449999999997</v>
      </c>
      <c r="T19" s="97">
        <f t="shared" si="22"/>
        <v>16061.2909</v>
      </c>
      <c r="U19" s="97">
        <f t="shared" si="23"/>
        <v>8889.5835000000006</v>
      </c>
      <c r="V19" s="135">
        <f t="shared" si="5"/>
        <v>71200.150779999996</v>
      </c>
      <c r="W19" s="101">
        <f t="shared" si="6"/>
        <v>133491.97078</v>
      </c>
      <c r="X19" s="99">
        <f t="shared" si="24"/>
        <v>11522.665800000001</v>
      </c>
      <c r="Y19" s="99">
        <f t="shared" si="25"/>
        <v>12227.860500000001</v>
      </c>
      <c r="Z19" s="99">
        <f t="shared" si="26"/>
        <v>47127.013600000006</v>
      </c>
      <c r="AA19" s="99">
        <f t="shared" si="27"/>
        <v>6925.3526849999998</v>
      </c>
      <c r="AB19" s="100">
        <f t="shared" si="8"/>
        <v>77802.892585000009</v>
      </c>
      <c r="AC19" s="99">
        <f t="shared" si="28"/>
        <v>10761.306676052938</v>
      </c>
      <c r="AD19" s="99">
        <f t="shared" si="29"/>
        <v>46713.297914399998</v>
      </c>
      <c r="AE19" s="99">
        <f t="shared" si="9"/>
        <v>16061.2909</v>
      </c>
      <c r="AF19" s="99">
        <f t="shared" si="10"/>
        <v>9410.5130931000003</v>
      </c>
      <c r="AG19" s="102">
        <f t="shared" si="11"/>
        <v>82946.40858355294</v>
      </c>
      <c r="AH19" s="101">
        <f t="shared" si="12"/>
        <v>160749.30116855295</v>
      </c>
      <c r="AK19" s="156" t="s">
        <v>1</v>
      </c>
      <c r="AL19" s="157">
        <v>114951.23</v>
      </c>
      <c r="AM19" s="158">
        <v>21504.53</v>
      </c>
      <c r="AN19" s="158">
        <v>35843.85</v>
      </c>
      <c r="AO19" s="158">
        <v>46122.85</v>
      </c>
      <c r="AP19" s="158">
        <v>13433.76</v>
      </c>
      <c r="AQ19" s="75">
        <v>116904.98999999999</v>
      </c>
      <c r="AR19" s="159">
        <v>21912.40638</v>
      </c>
      <c r="AS19" s="159">
        <f t="shared" si="18"/>
        <v>39965.892749999999</v>
      </c>
      <c r="AT19" s="159">
        <v>54655.577250000002</v>
      </c>
      <c r="AU19" s="159">
        <v>14777.136000000002</v>
      </c>
      <c r="AV19" s="161">
        <v>131311.01238</v>
      </c>
      <c r="AW19" s="159">
        <v>22350.6545076</v>
      </c>
      <c r="AX19" s="159">
        <f t="shared" si="19"/>
        <v>50539.828499999996</v>
      </c>
      <c r="AY19" s="159">
        <v>63188.304500000006</v>
      </c>
      <c r="AZ19" s="159">
        <f t="shared" si="20"/>
        <v>14777.136000000002</v>
      </c>
      <c r="BA19" s="75">
        <v>149780.60800760001</v>
      </c>
      <c r="BB19" s="149"/>
      <c r="BC19" s="149"/>
    </row>
    <row r="20" spans="1:60" ht="15" customHeight="1">
      <c r="A20" s="108" t="s">
        <v>18</v>
      </c>
      <c r="B20" s="108" t="s">
        <v>79</v>
      </c>
      <c r="C20" s="107" t="s">
        <v>94</v>
      </c>
      <c r="D20" s="108"/>
      <c r="E20" s="108">
        <v>17</v>
      </c>
      <c r="F20" s="56" t="s">
        <v>3</v>
      </c>
      <c r="G20" s="72">
        <v>16065885.51</v>
      </c>
      <c r="H20" s="60">
        <v>116347.47</v>
      </c>
      <c r="I20" s="60">
        <v>16455260.460000001</v>
      </c>
      <c r="J20" s="60">
        <v>0</v>
      </c>
      <c r="K20" s="60">
        <v>13914.16</v>
      </c>
      <c r="L20" s="74">
        <f t="shared" ref="L20:L25" si="35">SUM(H20:K20)</f>
        <v>16585522.090000002</v>
      </c>
      <c r="M20" s="57">
        <v>66107.87</v>
      </c>
      <c r="N20" s="57">
        <v>8442434.2100000009</v>
      </c>
      <c r="O20" s="57">
        <v>0</v>
      </c>
      <c r="P20" s="57">
        <v>10223.15</v>
      </c>
      <c r="Q20" s="81">
        <f t="shared" ref="Q20:Q24" si="36">SUM(M20:P20)</f>
        <v>8518765.2300000004</v>
      </c>
      <c r="R20" s="60">
        <f t="shared" ref="R20:R25" si="37">(H20-M20)*(R$5)*R$3</f>
        <v>52269.27984000001</v>
      </c>
      <c r="S20" s="60">
        <f t="shared" ref="S20:S25" si="38">(I20-N20)*S$5</f>
        <v>11057700.225</v>
      </c>
      <c r="T20" s="60">
        <f t="shared" ref="T20:T25" si="39">(J20-O20)*T$5</f>
        <v>0</v>
      </c>
      <c r="U20" s="60">
        <f t="shared" ref="U20:U25" si="40">(K20-P20)*U$5</f>
        <v>4761.4029</v>
      </c>
      <c r="V20" s="50">
        <f t="shared" ref="V20:V25" si="41">U20+T20+S20+R20</f>
        <v>11114730.907739999</v>
      </c>
      <c r="W20" s="75">
        <f t="shared" ref="W20:W25" si="42">V20+Q20</f>
        <v>19633496.137740001</v>
      </c>
      <c r="X20" s="57">
        <f t="shared" ref="X20:X25" si="43">M20*X$5*X$3</f>
        <v>66768.948699999994</v>
      </c>
      <c r="Y20" s="57">
        <f t="shared" ref="Y20:Y25" si="44">N20*Y$5</f>
        <v>10384194.078300001</v>
      </c>
      <c r="Z20" s="64">
        <f t="shared" ref="Z20:Z25" si="45">O20*Z$5</f>
        <v>0</v>
      </c>
      <c r="AA20" s="57">
        <f t="shared" ref="AA20:AA25" si="46">P20*AA$5</f>
        <v>10821.204275</v>
      </c>
      <c r="AB20" s="81">
        <f t="shared" ref="AB20:AB25" si="47">SUM(X20:AA20)</f>
        <v>10461784.231275002</v>
      </c>
      <c r="AC20" s="57">
        <f t="shared" ref="AC20:AC25" si="48">R20*AC$5*AC$3</f>
        <v>53550.556696717933</v>
      </c>
      <c r="AD20" s="57">
        <f t="shared" ref="AD20:AD25" si="49">(S20)*AD$5</f>
        <v>14450556.5004372</v>
      </c>
      <c r="AE20" s="57">
        <f t="shared" ref="AE20:AE25" si="50">T20*AE$5</f>
        <v>0</v>
      </c>
      <c r="AF20" s="57">
        <f t="shared" ref="AF20:AF25" si="51">U20*AF$5</f>
        <v>5040.42110994</v>
      </c>
      <c r="AG20" s="70">
        <f t="shared" ref="AG20:AG25" si="52">SUM(AC20:AF20)</f>
        <v>14509147.478243859</v>
      </c>
      <c r="AH20" s="82">
        <f t="shared" ref="AH20:AH25" si="53">AG20+AB20</f>
        <v>24970931.709518861</v>
      </c>
      <c r="AK20" s="56" t="s">
        <v>3</v>
      </c>
      <c r="AL20" s="84">
        <v>16065885.51</v>
      </c>
      <c r="AM20" s="86">
        <v>116347.47</v>
      </c>
      <c r="AN20" s="86">
        <v>16455260.460000001</v>
      </c>
      <c r="AO20" s="86">
        <v>0</v>
      </c>
      <c r="AP20" s="158">
        <v>13914.16</v>
      </c>
      <c r="AQ20" s="82">
        <f t="shared" ref="AQ20:AQ25" si="54">SUM(AM20:AP20)</f>
        <v>16585522.090000002</v>
      </c>
      <c r="AR20" s="85">
        <f t="shared" ref="AR20:AR25" si="55">M20+R20</f>
        <v>118377.14984</v>
      </c>
      <c r="AS20" s="159">
        <f t="shared" si="18"/>
        <v>18347615.412900001</v>
      </c>
      <c r="AT20" s="159">
        <f t="shared" ref="AT20:AT25" si="56">O20+T20</f>
        <v>0</v>
      </c>
      <c r="AU20" s="159">
        <f t="shared" ref="AU20:AU25" si="57">P20+U20</f>
        <v>14984.552899999999</v>
      </c>
      <c r="AV20" s="169">
        <f t="shared" ref="AV20:AV25" si="58">SUM(AR20:AU20)</f>
        <v>18480977.115640003</v>
      </c>
      <c r="AW20" s="85">
        <f t="shared" ref="AW20:AW25" si="59">X20+AC20</f>
        <v>120319.50539671793</v>
      </c>
      <c r="AX20" s="159">
        <f t="shared" si="19"/>
        <v>23201917.248599999</v>
      </c>
      <c r="AY20" s="85">
        <f t="shared" ref="AY20:AY25" si="60">Z20+AE20</f>
        <v>0</v>
      </c>
      <c r="AZ20" s="159">
        <f t="shared" si="20"/>
        <v>14984.552899999999</v>
      </c>
      <c r="BA20" s="82">
        <f t="shared" ref="BA20:BA25" si="61">SUM(AW20:AZ20)</f>
        <v>23337221.306896716</v>
      </c>
      <c r="BB20" s="137"/>
      <c r="BC20" s="137"/>
    </row>
    <row r="21" spans="1:60" s="5" customFormat="1" ht="15" customHeight="1">
      <c r="A21" s="15" t="s">
        <v>18</v>
      </c>
      <c r="B21" s="15" t="s">
        <v>79</v>
      </c>
      <c r="C21" s="107" t="s">
        <v>94</v>
      </c>
      <c r="D21" s="108"/>
      <c r="E21" s="108">
        <v>19</v>
      </c>
      <c r="F21" s="56" t="s">
        <v>4</v>
      </c>
      <c r="G21" s="72">
        <v>546418.91</v>
      </c>
      <c r="H21" s="60">
        <v>292445.84999999998</v>
      </c>
      <c r="I21" s="60">
        <v>146170.32999999999</v>
      </c>
      <c r="J21" s="60">
        <v>61774.39</v>
      </c>
      <c r="K21" s="60">
        <v>43330.71</v>
      </c>
      <c r="L21" s="74">
        <f t="shared" si="35"/>
        <v>543721.27999999991</v>
      </c>
      <c r="M21" s="57">
        <v>171484.1</v>
      </c>
      <c r="N21" s="57">
        <v>61886.01</v>
      </c>
      <c r="O21" s="57">
        <v>39765.03</v>
      </c>
      <c r="P21" s="57">
        <v>21548.36</v>
      </c>
      <c r="Q21" s="81">
        <f t="shared" si="36"/>
        <v>294683.5</v>
      </c>
      <c r="R21" s="60">
        <f t="shared" si="37"/>
        <v>125848.60469999997</v>
      </c>
      <c r="S21" s="60">
        <f t="shared" si="38"/>
        <v>116312.36159999996</v>
      </c>
      <c r="T21" s="60">
        <f t="shared" si="39"/>
        <v>30152.823200000003</v>
      </c>
      <c r="U21" s="60">
        <f t="shared" si="40"/>
        <v>28099.231499999998</v>
      </c>
      <c r="V21" s="50">
        <f t="shared" si="41"/>
        <v>300413.02099999995</v>
      </c>
      <c r="W21" s="75">
        <f t="shared" si="42"/>
        <v>595096.52099999995</v>
      </c>
      <c r="X21" s="57">
        <f t="shared" si="43"/>
        <v>173198.94100000002</v>
      </c>
      <c r="Y21" s="57">
        <f t="shared" si="44"/>
        <v>76119.792300000001</v>
      </c>
      <c r="Z21" s="64">
        <f t="shared" si="45"/>
        <v>54478.091100000005</v>
      </c>
      <c r="AA21" s="57">
        <f t="shared" si="46"/>
        <v>22808.939060000001</v>
      </c>
      <c r="AB21" s="81">
        <f t="shared" si="47"/>
        <v>326605.76346000005</v>
      </c>
      <c r="AC21" s="57">
        <f t="shared" si="48"/>
        <v>128933.53154701107</v>
      </c>
      <c r="AD21" s="57">
        <f t="shared" si="49"/>
        <v>152000.71613445116</v>
      </c>
      <c r="AE21" s="57">
        <f t="shared" si="50"/>
        <v>30152.823200000003</v>
      </c>
      <c r="AF21" s="57">
        <f t="shared" si="51"/>
        <v>29745.846465899998</v>
      </c>
      <c r="AG21" s="70">
        <f t="shared" si="52"/>
        <v>340832.91734736221</v>
      </c>
      <c r="AH21" s="82">
        <f t="shared" si="53"/>
        <v>667438.68080736231</v>
      </c>
      <c r="AK21" s="56" t="s">
        <v>4</v>
      </c>
      <c r="AL21" s="84">
        <v>546418.91</v>
      </c>
      <c r="AM21" s="86">
        <v>292445.84999999998</v>
      </c>
      <c r="AN21" s="86">
        <v>146170.32999999999</v>
      </c>
      <c r="AO21" s="86">
        <v>61774.39</v>
      </c>
      <c r="AP21" s="158">
        <v>43330.71</v>
      </c>
      <c r="AQ21" s="82">
        <f t="shared" si="54"/>
        <v>543721.27999999991</v>
      </c>
      <c r="AR21" s="85">
        <f t="shared" si="55"/>
        <v>297332.7047</v>
      </c>
      <c r="AS21" s="159">
        <f t="shared" si="18"/>
        <v>162979.91794999997</v>
      </c>
      <c r="AT21" s="159">
        <f t="shared" si="56"/>
        <v>69917.853199999998</v>
      </c>
      <c r="AU21" s="159">
        <f t="shared" si="57"/>
        <v>49647.591499999995</v>
      </c>
      <c r="AV21" s="169">
        <f t="shared" si="58"/>
        <v>579878.06734999991</v>
      </c>
      <c r="AW21" s="85">
        <f t="shared" si="59"/>
        <v>302132.4725470111</v>
      </c>
      <c r="AX21" s="159">
        <f t="shared" si="19"/>
        <v>206100.16529999996</v>
      </c>
      <c r="AY21" s="85">
        <f t="shared" si="60"/>
        <v>84630.914300000004</v>
      </c>
      <c r="AZ21" s="159">
        <f t="shared" si="20"/>
        <v>49647.591499999995</v>
      </c>
      <c r="BA21" s="82">
        <f t="shared" si="61"/>
        <v>642511.14364701102</v>
      </c>
      <c r="BB21" s="138"/>
      <c r="BC21" s="138"/>
    </row>
    <row r="22" spans="1:60" ht="15" customHeight="1">
      <c r="A22" s="15" t="s">
        <v>18</v>
      </c>
      <c r="B22" s="15" t="s">
        <v>79</v>
      </c>
      <c r="C22" s="107" t="s">
        <v>94</v>
      </c>
      <c r="D22" s="108"/>
      <c r="E22" s="108">
        <v>20</v>
      </c>
      <c r="F22" s="56" t="s">
        <v>21</v>
      </c>
      <c r="G22" s="72">
        <f>1284552.8+150000+2548.37+141223.51</f>
        <v>1578324.6800000002</v>
      </c>
      <c r="H22" s="60">
        <v>850871.09</v>
      </c>
      <c r="I22" s="60">
        <v>704767.92</v>
      </c>
      <c r="J22" s="60">
        <v>6515.12</v>
      </c>
      <c r="K22" s="60">
        <v>73577.320000000007</v>
      </c>
      <c r="L22" s="74">
        <f t="shared" si="35"/>
        <v>1635731.4500000002</v>
      </c>
      <c r="M22" s="57">
        <v>507011.24</v>
      </c>
      <c r="N22" s="57">
        <v>303203.48</v>
      </c>
      <c r="O22" s="57">
        <v>1987.34</v>
      </c>
      <c r="P22" s="57">
        <v>37247.9</v>
      </c>
      <c r="Q22" s="81">
        <f t="shared" si="36"/>
        <v>849449.96</v>
      </c>
      <c r="R22" s="60">
        <f t="shared" si="37"/>
        <v>357751.78793999995</v>
      </c>
      <c r="S22" s="60">
        <f t="shared" si="38"/>
        <v>554158.92720000003</v>
      </c>
      <c r="T22" s="60">
        <f t="shared" si="39"/>
        <v>6203.0586000000003</v>
      </c>
      <c r="U22" s="60">
        <f t="shared" si="40"/>
        <v>46864.95180000001</v>
      </c>
      <c r="V22" s="50">
        <f t="shared" si="41"/>
        <v>964978.72554000001</v>
      </c>
      <c r="W22" s="75">
        <f t="shared" si="42"/>
        <v>1814428.68554</v>
      </c>
      <c r="X22" s="57">
        <f t="shared" si="43"/>
        <v>512081.35239999997</v>
      </c>
      <c r="Y22" s="57">
        <f t="shared" si="44"/>
        <v>372940.28039999999</v>
      </c>
      <c r="Z22" s="64">
        <f t="shared" si="45"/>
        <v>2722.6558</v>
      </c>
      <c r="AA22" s="57">
        <f t="shared" si="46"/>
        <v>39426.902150000002</v>
      </c>
      <c r="AB22" s="81">
        <f t="shared" si="47"/>
        <v>927171.19074999995</v>
      </c>
      <c r="AC22" s="57">
        <f t="shared" si="48"/>
        <v>366521.35751777317</v>
      </c>
      <c r="AD22" s="57">
        <f t="shared" si="49"/>
        <v>724192.61915063043</v>
      </c>
      <c r="AE22" s="57">
        <f t="shared" si="50"/>
        <v>6203.0586000000003</v>
      </c>
      <c r="AF22" s="57">
        <f t="shared" si="51"/>
        <v>49611.237975480013</v>
      </c>
      <c r="AG22" s="70">
        <f t="shared" si="52"/>
        <v>1146528.2732438836</v>
      </c>
      <c r="AH22" s="82">
        <f t="shared" si="53"/>
        <v>2073699.4639938837</v>
      </c>
      <c r="AK22" s="56" t="s">
        <v>21</v>
      </c>
      <c r="AL22" s="84">
        <f>1284552.8+150000+2548.37+141223.51</f>
        <v>1578324.6800000002</v>
      </c>
      <c r="AM22" s="86">
        <v>850871.09</v>
      </c>
      <c r="AN22" s="86">
        <v>704767.92</v>
      </c>
      <c r="AO22" s="86">
        <v>6515.12</v>
      </c>
      <c r="AP22" s="158">
        <v>73577.320000000007</v>
      </c>
      <c r="AQ22" s="82">
        <f t="shared" si="54"/>
        <v>1635731.4500000002</v>
      </c>
      <c r="AR22" s="85">
        <f t="shared" si="55"/>
        <v>864763.02793999994</v>
      </c>
      <c r="AS22" s="159">
        <f t="shared" si="18"/>
        <v>785816.23080000002</v>
      </c>
      <c r="AT22" s="159">
        <f t="shared" si="56"/>
        <v>8190.3986000000004</v>
      </c>
      <c r="AU22" s="159">
        <f t="shared" si="57"/>
        <v>84112.851800000004</v>
      </c>
      <c r="AV22" s="169">
        <f t="shared" si="58"/>
        <v>1742882.50914</v>
      </c>
      <c r="AW22" s="85">
        <f t="shared" si="59"/>
        <v>878602.70991777314</v>
      </c>
      <c r="AX22" s="159">
        <f t="shared" si="19"/>
        <v>993722.7672</v>
      </c>
      <c r="AY22" s="85">
        <f t="shared" si="60"/>
        <v>8925.7144000000008</v>
      </c>
      <c r="AZ22" s="159">
        <f t="shared" si="20"/>
        <v>84112.851800000004</v>
      </c>
      <c r="BA22" s="82">
        <f t="shared" si="61"/>
        <v>1965364.0433177731</v>
      </c>
      <c r="BB22" s="137"/>
      <c r="BC22" s="137"/>
    </row>
    <row r="23" spans="1:60" ht="15" customHeight="1">
      <c r="A23" s="15" t="s">
        <v>18</v>
      </c>
      <c r="B23" s="15" t="s">
        <v>79</v>
      </c>
      <c r="C23" s="107" t="s">
        <v>94</v>
      </c>
      <c r="D23" s="108"/>
      <c r="E23" s="108">
        <v>21</v>
      </c>
      <c r="F23" s="56" t="s">
        <v>22</v>
      </c>
      <c r="G23" s="72">
        <v>2387.14</v>
      </c>
      <c r="H23" s="60">
        <v>0</v>
      </c>
      <c r="I23" s="60">
        <v>2403.29</v>
      </c>
      <c r="J23" s="60">
        <v>0</v>
      </c>
      <c r="K23" s="60">
        <v>0</v>
      </c>
      <c r="L23" s="74">
        <f t="shared" si="35"/>
        <v>2403.29</v>
      </c>
      <c r="M23" s="57">
        <v>0</v>
      </c>
      <c r="N23" s="57">
        <v>1176.51</v>
      </c>
      <c r="O23" s="57">
        <v>0</v>
      </c>
      <c r="P23" s="57">
        <v>0</v>
      </c>
      <c r="Q23" s="81">
        <f t="shared" si="36"/>
        <v>1176.51</v>
      </c>
      <c r="R23" s="60">
        <f t="shared" si="37"/>
        <v>0</v>
      </c>
      <c r="S23" s="60">
        <f t="shared" si="38"/>
        <v>1692.9563999999998</v>
      </c>
      <c r="T23" s="60">
        <f t="shared" si="39"/>
        <v>0</v>
      </c>
      <c r="U23" s="60">
        <f t="shared" si="40"/>
        <v>0</v>
      </c>
      <c r="V23" s="50">
        <f t="shared" si="41"/>
        <v>1692.9563999999998</v>
      </c>
      <c r="W23" s="75">
        <f t="shared" si="42"/>
        <v>2869.4663999999998</v>
      </c>
      <c r="X23" s="57">
        <f t="shared" si="43"/>
        <v>0</v>
      </c>
      <c r="Y23" s="57">
        <f t="shared" si="44"/>
        <v>1447.1072999999999</v>
      </c>
      <c r="Z23" s="64">
        <f t="shared" si="45"/>
        <v>0</v>
      </c>
      <c r="AA23" s="57">
        <f t="shared" si="46"/>
        <v>0</v>
      </c>
      <c r="AB23" s="81">
        <f t="shared" si="47"/>
        <v>1447.1072999999999</v>
      </c>
      <c r="AC23" s="57">
        <f t="shared" si="48"/>
        <v>0</v>
      </c>
      <c r="AD23" s="57">
        <f t="shared" si="49"/>
        <v>2212.4095981247997</v>
      </c>
      <c r="AE23" s="57">
        <f t="shared" si="50"/>
        <v>0</v>
      </c>
      <c r="AF23" s="57">
        <f t="shared" si="51"/>
        <v>0</v>
      </c>
      <c r="AG23" s="70">
        <f t="shared" si="52"/>
        <v>2212.4095981247997</v>
      </c>
      <c r="AH23" s="82">
        <f t="shared" si="53"/>
        <v>3659.5168981247998</v>
      </c>
      <c r="AK23" s="56" t="s">
        <v>22</v>
      </c>
      <c r="AL23" s="84">
        <v>2387.14</v>
      </c>
      <c r="AM23" s="86">
        <v>0</v>
      </c>
      <c r="AN23" s="86">
        <v>2403.29</v>
      </c>
      <c r="AO23" s="86">
        <v>0</v>
      </c>
      <c r="AP23" s="158">
        <v>0</v>
      </c>
      <c r="AQ23" s="82">
        <f t="shared" si="54"/>
        <v>2403.29</v>
      </c>
      <c r="AR23" s="85">
        <f t="shared" si="55"/>
        <v>0</v>
      </c>
      <c r="AS23" s="159">
        <f t="shared" si="18"/>
        <v>2679.6683499999999</v>
      </c>
      <c r="AT23" s="159">
        <f t="shared" si="56"/>
        <v>0</v>
      </c>
      <c r="AU23" s="159">
        <f t="shared" si="57"/>
        <v>0</v>
      </c>
      <c r="AV23" s="169">
        <f t="shared" si="58"/>
        <v>2679.6683499999999</v>
      </c>
      <c r="AW23" s="85">
        <f t="shared" si="59"/>
        <v>0</v>
      </c>
      <c r="AX23" s="159">
        <f t="shared" si="19"/>
        <v>3388.6388999999999</v>
      </c>
      <c r="AY23" s="85">
        <f t="shared" si="60"/>
        <v>0</v>
      </c>
      <c r="AZ23" s="159">
        <f t="shared" si="20"/>
        <v>0</v>
      </c>
      <c r="BA23" s="82">
        <f t="shared" si="61"/>
        <v>3388.6388999999999</v>
      </c>
      <c r="BB23" s="137"/>
      <c r="BC23" s="137"/>
    </row>
    <row r="24" spans="1:60" ht="15" customHeight="1">
      <c r="A24" s="15" t="s">
        <v>18</v>
      </c>
      <c r="B24" s="15" t="s">
        <v>79</v>
      </c>
      <c r="C24" s="107" t="s">
        <v>94</v>
      </c>
      <c r="D24" s="108"/>
      <c r="E24" s="108">
        <v>23</v>
      </c>
      <c r="F24" s="56" t="s">
        <v>23</v>
      </c>
      <c r="G24" s="72">
        <v>149004.93</v>
      </c>
      <c r="H24" s="60">
        <v>0</v>
      </c>
      <c r="I24" s="60">
        <v>101240.36</v>
      </c>
      <c r="J24" s="60">
        <v>2171.4</v>
      </c>
      <c r="K24" s="60">
        <v>64301.53</v>
      </c>
      <c r="L24" s="74">
        <f t="shared" si="35"/>
        <v>167713.28999999998</v>
      </c>
      <c r="M24" s="57">
        <v>0</v>
      </c>
      <c r="N24" s="57">
        <v>18646.77</v>
      </c>
      <c r="O24" s="57">
        <v>915.56</v>
      </c>
      <c r="P24" s="57">
        <v>17071.71</v>
      </c>
      <c r="Q24" s="81">
        <f t="shared" si="36"/>
        <v>36634.04</v>
      </c>
      <c r="R24" s="60">
        <f t="shared" si="37"/>
        <v>0</v>
      </c>
      <c r="S24" s="60">
        <f t="shared" si="38"/>
        <v>113979.15419999999</v>
      </c>
      <c r="T24" s="60">
        <f t="shared" si="39"/>
        <v>1720.5008000000003</v>
      </c>
      <c r="U24" s="60">
        <f t="shared" si="40"/>
        <v>60926.467799999999</v>
      </c>
      <c r="V24" s="50">
        <f t="shared" si="41"/>
        <v>176626.12279999998</v>
      </c>
      <c r="W24" s="75">
        <f t="shared" si="42"/>
        <v>213260.16279999999</v>
      </c>
      <c r="X24" s="57">
        <f t="shared" si="43"/>
        <v>0</v>
      </c>
      <c r="Y24" s="57">
        <f t="shared" si="44"/>
        <v>22935.527099999999</v>
      </c>
      <c r="Z24" s="64">
        <f t="shared" si="45"/>
        <v>1254.3172</v>
      </c>
      <c r="AA24" s="57">
        <f t="shared" si="46"/>
        <v>18070.405035</v>
      </c>
      <c r="AB24" s="81">
        <f t="shared" si="47"/>
        <v>42260.249335</v>
      </c>
      <c r="AC24" s="57">
        <f t="shared" si="48"/>
        <v>0</v>
      </c>
      <c r="AD24" s="57">
        <f t="shared" si="49"/>
        <v>148951.60604149438</v>
      </c>
      <c r="AE24" s="57">
        <f t="shared" si="50"/>
        <v>1720.5008000000003</v>
      </c>
      <c r="AF24" s="57">
        <f t="shared" si="51"/>
        <v>64496.75881308</v>
      </c>
      <c r="AG24" s="70">
        <f t="shared" si="52"/>
        <v>215168.86565457439</v>
      </c>
      <c r="AH24" s="82">
        <f t="shared" si="53"/>
        <v>257429.11498957439</v>
      </c>
      <c r="AK24" s="56" t="s">
        <v>23</v>
      </c>
      <c r="AL24" s="84">
        <v>149004.93</v>
      </c>
      <c r="AM24" s="86">
        <v>0</v>
      </c>
      <c r="AN24" s="86">
        <v>101240.36</v>
      </c>
      <c r="AO24" s="86">
        <v>2171.4</v>
      </c>
      <c r="AP24" s="158">
        <v>64301.53</v>
      </c>
      <c r="AQ24" s="82">
        <f t="shared" si="54"/>
        <v>167713.28999999998</v>
      </c>
      <c r="AR24" s="85">
        <f t="shared" si="55"/>
        <v>0</v>
      </c>
      <c r="AS24" s="159">
        <f t="shared" si="18"/>
        <v>112883.00139999999</v>
      </c>
      <c r="AT24" s="159">
        <f t="shared" si="56"/>
        <v>2636.0608000000002</v>
      </c>
      <c r="AU24" s="159">
        <f t="shared" si="57"/>
        <v>77998.177800000005</v>
      </c>
      <c r="AV24" s="169">
        <f t="shared" si="58"/>
        <v>193517.24</v>
      </c>
      <c r="AW24" s="85">
        <f t="shared" si="59"/>
        <v>0</v>
      </c>
      <c r="AX24" s="159">
        <f t="shared" si="19"/>
        <v>142748.90760000001</v>
      </c>
      <c r="AY24" s="85">
        <f t="shared" si="60"/>
        <v>2974.8180000000002</v>
      </c>
      <c r="AZ24" s="159">
        <f t="shared" si="20"/>
        <v>77998.177800000005</v>
      </c>
      <c r="BA24" s="82">
        <f t="shared" si="61"/>
        <v>223721.90340000001</v>
      </c>
      <c r="BB24" s="137"/>
      <c r="BC24" s="137"/>
    </row>
    <row r="25" spans="1:60" ht="15" customHeight="1">
      <c r="A25" s="15" t="s">
        <v>18</v>
      </c>
      <c r="B25" s="15" t="s">
        <v>79</v>
      </c>
      <c r="C25" s="107" t="s">
        <v>94</v>
      </c>
      <c r="D25" s="108"/>
      <c r="E25" s="15">
        <v>27</v>
      </c>
      <c r="F25" s="62" t="s">
        <v>24</v>
      </c>
      <c r="G25" s="74">
        <v>158.47999999999999</v>
      </c>
      <c r="H25" s="63">
        <v>0</v>
      </c>
      <c r="I25" s="63">
        <v>342.39</v>
      </c>
      <c r="J25" s="63">
        <v>0</v>
      </c>
      <c r="K25" s="63">
        <v>0</v>
      </c>
      <c r="L25" s="74">
        <f t="shared" si="35"/>
        <v>342.39</v>
      </c>
      <c r="M25" s="87">
        <v>0</v>
      </c>
      <c r="N25" s="87">
        <v>0</v>
      </c>
      <c r="O25" s="87">
        <v>0</v>
      </c>
      <c r="P25" s="87">
        <v>0</v>
      </c>
      <c r="Q25" s="81">
        <f>SUM(M25:P25)</f>
        <v>0</v>
      </c>
      <c r="R25" s="60">
        <f t="shared" si="37"/>
        <v>0</v>
      </c>
      <c r="S25" s="60">
        <f t="shared" si="38"/>
        <v>472.49819999999994</v>
      </c>
      <c r="T25" s="60">
        <f t="shared" si="39"/>
        <v>0</v>
      </c>
      <c r="U25" s="60">
        <f t="shared" si="40"/>
        <v>0</v>
      </c>
      <c r="V25" s="50">
        <f t="shared" si="41"/>
        <v>472.49819999999994</v>
      </c>
      <c r="W25" s="75">
        <f t="shared" si="42"/>
        <v>472.49819999999994</v>
      </c>
      <c r="X25" s="57">
        <f t="shared" si="43"/>
        <v>0</v>
      </c>
      <c r="Y25" s="57">
        <f t="shared" si="44"/>
        <v>0</v>
      </c>
      <c r="Z25" s="64">
        <f t="shared" si="45"/>
        <v>0</v>
      </c>
      <c r="AA25" s="57">
        <f t="shared" si="46"/>
        <v>0</v>
      </c>
      <c r="AB25" s="81">
        <f t="shared" si="47"/>
        <v>0</v>
      </c>
      <c r="AC25" s="57">
        <f t="shared" si="48"/>
        <v>0</v>
      </c>
      <c r="AD25" s="57">
        <f t="shared" si="49"/>
        <v>617.47576770239993</v>
      </c>
      <c r="AE25" s="57">
        <f t="shared" si="50"/>
        <v>0</v>
      </c>
      <c r="AF25" s="57">
        <f t="shared" si="51"/>
        <v>0</v>
      </c>
      <c r="AG25" s="70">
        <f t="shared" si="52"/>
        <v>617.47576770239993</v>
      </c>
      <c r="AH25" s="82">
        <f t="shared" si="53"/>
        <v>617.47576770239993</v>
      </c>
      <c r="AK25" s="62" t="s">
        <v>24</v>
      </c>
      <c r="AL25" s="82">
        <v>158.47999999999999</v>
      </c>
      <c r="AM25" s="160">
        <v>0</v>
      </c>
      <c r="AN25" s="160">
        <v>342.39</v>
      </c>
      <c r="AO25" s="160">
        <v>0</v>
      </c>
      <c r="AP25" s="162">
        <v>0</v>
      </c>
      <c r="AQ25" s="82">
        <f t="shared" si="54"/>
        <v>342.39</v>
      </c>
      <c r="AR25" s="85">
        <f t="shared" si="55"/>
        <v>0</v>
      </c>
      <c r="AS25" s="159">
        <f t="shared" si="18"/>
        <v>381.76484999999997</v>
      </c>
      <c r="AT25" s="159">
        <f t="shared" si="56"/>
        <v>0</v>
      </c>
      <c r="AU25" s="159">
        <f t="shared" si="57"/>
        <v>0</v>
      </c>
      <c r="AV25" s="169">
        <f t="shared" si="58"/>
        <v>381.76484999999997</v>
      </c>
      <c r="AW25" s="85">
        <f t="shared" si="59"/>
        <v>0</v>
      </c>
      <c r="AX25" s="159">
        <f t="shared" si="19"/>
        <v>482.76989999999995</v>
      </c>
      <c r="AY25" s="85">
        <f t="shared" si="60"/>
        <v>0</v>
      </c>
      <c r="AZ25" s="159">
        <f t="shared" si="20"/>
        <v>0</v>
      </c>
      <c r="BA25" s="82">
        <f t="shared" si="61"/>
        <v>482.76989999999995</v>
      </c>
      <c r="BB25" s="137"/>
      <c r="BC25" s="137"/>
    </row>
    <row r="26" spans="1:60" s="3" customFormat="1" ht="14.25" customHeight="1">
      <c r="A26" s="15" t="s">
        <v>18</v>
      </c>
      <c r="B26" s="15" t="s">
        <v>79</v>
      </c>
      <c r="C26" s="107" t="s">
        <v>94</v>
      </c>
      <c r="D26" s="108"/>
      <c r="E26" s="110"/>
      <c r="F26" s="49"/>
      <c r="G26" s="74"/>
      <c r="H26" s="51"/>
      <c r="I26" s="52"/>
      <c r="J26" s="51"/>
      <c r="K26" s="51"/>
      <c r="L26" s="69"/>
      <c r="M26" s="88"/>
      <c r="N26" s="89"/>
      <c r="O26" s="51"/>
      <c r="P26" s="88"/>
      <c r="Q26" s="88"/>
      <c r="R26" s="88"/>
      <c r="S26" s="88"/>
      <c r="T26" s="88"/>
      <c r="U26" s="88"/>
      <c r="V26" s="88"/>
      <c r="W26" s="90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91"/>
      <c r="AK26" s="49" t="s">
        <v>20</v>
      </c>
      <c r="AL26" s="82" t="e">
        <f>AL10+#REF!</f>
        <v>#REF!</v>
      </c>
      <c r="AM26" s="163" t="e">
        <f>AM10+#REF!</f>
        <v>#REF!</v>
      </c>
      <c r="AN26" s="76" t="e">
        <f>#REF!+AN10</f>
        <v>#REF!</v>
      </c>
      <c r="AO26" s="163" t="e">
        <f>#REF!+AO10</f>
        <v>#REF!</v>
      </c>
      <c r="AP26" s="76" t="e">
        <f>#REF!+AP10</f>
        <v>#REF!</v>
      </c>
      <c r="AQ26" s="75" t="e">
        <f>#REF!+AQ10</f>
        <v>#REF!</v>
      </c>
      <c r="AR26" s="170"/>
      <c r="AS26" s="170"/>
      <c r="AT26" s="170"/>
      <c r="AU26" s="161"/>
      <c r="AV26" s="170"/>
      <c r="AW26" s="170"/>
      <c r="AX26" s="170"/>
      <c r="AY26" s="170"/>
      <c r="AZ26" s="170"/>
      <c r="BA26" s="75"/>
      <c r="BB26" s="164"/>
      <c r="BC26" s="164"/>
    </row>
    <row r="27" spans="1:60" ht="15" customHeight="1">
      <c r="E27" s="15"/>
      <c r="L27" s="4"/>
      <c r="P27" s="2"/>
      <c r="AK27" s="171" t="s">
        <v>112</v>
      </c>
      <c r="AL27" s="171"/>
      <c r="AM27" s="171"/>
      <c r="AN27" s="171"/>
      <c r="AO27" s="171"/>
      <c r="AP27" s="172"/>
      <c r="AQ27" s="171"/>
      <c r="AR27" s="171"/>
      <c r="AS27" s="171"/>
      <c r="AT27" s="171"/>
      <c r="AU27" s="172"/>
      <c r="AV27" s="171"/>
      <c r="AW27" s="171">
        <v>600000</v>
      </c>
      <c r="AX27" s="171">
        <v>700000</v>
      </c>
      <c r="AY27" s="171">
        <v>50000</v>
      </c>
      <c r="AZ27" s="171">
        <v>80000</v>
      </c>
      <c r="BA27" s="171">
        <f>SUM(AW27:AZ27)</f>
        <v>1430000</v>
      </c>
    </row>
    <row r="28" spans="1:60">
      <c r="A28" s="10" t="s">
        <v>81</v>
      </c>
      <c r="B28" s="10"/>
      <c r="C28" s="112" t="s">
        <v>80</v>
      </c>
      <c r="D28" s="113" t="s">
        <v>71</v>
      </c>
      <c r="E28" s="109">
        <v>15</v>
      </c>
      <c r="F28" s="36" t="s">
        <v>1</v>
      </c>
      <c r="G28" s="1">
        <v>0</v>
      </c>
      <c r="H28" s="1">
        <v>0</v>
      </c>
      <c r="I28" s="1">
        <v>0</v>
      </c>
      <c r="J28" s="11">
        <v>0</v>
      </c>
      <c r="K28" s="34">
        <v>0</v>
      </c>
      <c r="L28" s="1">
        <v>0</v>
      </c>
      <c r="M28" s="34">
        <v>0</v>
      </c>
      <c r="N28" s="1">
        <v>0</v>
      </c>
      <c r="O28" s="1">
        <v>0</v>
      </c>
      <c r="P28" s="2">
        <v>0</v>
      </c>
      <c r="Q28" s="20">
        <v>0</v>
      </c>
      <c r="R28" s="8">
        <v>0</v>
      </c>
      <c r="S28" s="9">
        <v>0</v>
      </c>
      <c r="T28" s="8">
        <v>0</v>
      </c>
      <c r="U28" s="8">
        <v>0</v>
      </c>
      <c r="V28" s="20">
        <v>0</v>
      </c>
      <c r="W28" s="20">
        <v>0</v>
      </c>
      <c r="X28" s="5">
        <v>0</v>
      </c>
      <c r="Y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</row>
    <row r="29" spans="1:60">
      <c r="A29" s="1" t="s">
        <v>118</v>
      </c>
      <c r="C29" s="38" t="s">
        <v>38</v>
      </c>
      <c r="D29" s="39" t="s">
        <v>39</v>
      </c>
      <c r="E29" s="108">
        <v>20</v>
      </c>
      <c r="F29" s="37" t="s">
        <v>21</v>
      </c>
      <c r="J29" s="13"/>
      <c r="K29" s="13"/>
      <c r="L29" s="14"/>
      <c r="Q29" s="21"/>
      <c r="R29" s="22"/>
      <c r="S29" s="22"/>
      <c r="T29" s="23"/>
      <c r="U29" s="23"/>
      <c r="V29" s="24"/>
      <c r="W29" s="24"/>
    </row>
    <row r="30" spans="1:60" ht="15" customHeight="1">
      <c r="A30" s="13" t="s">
        <v>44</v>
      </c>
      <c r="B30" s="13"/>
      <c r="C30" s="105" t="s">
        <v>43</v>
      </c>
      <c r="D30" s="39" t="s">
        <v>39</v>
      </c>
      <c r="E30" s="108">
        <v>20</v>
      </c>
      <c r="F30" s="37" t="s">
        <v>21</v>
      </c>
      <c r="J30" s="13"/>
      <c r="K30" s="13"/>
      <c r="L30" s="14"/>
      <c r="Q30" s="21"/>
      <c r="R30" s="25"/>
      <c r="S30" s="25"/>
      <c r="T30" s="25"/>
      <c r="U30" s="25"/>
      <c r="V30" s="25"/>
      <c r="W30" s="25"/>
    </row>
    <row r="31" spans="1:60">
      <c r="A31" s="13" t="s">
        <v>49</v>
      </c>
      <c r="B31" s="13"/>
      <c r="C31" s="44" t="s">
        <v>45</v>
      </c>
      <c r="D31" s="39" t="s">
        <v>39</v>
      </c>
      <c r="E31" s="111">
        <v>15</v>
      </c>
      <c r="F31" s="36" t="s">
        <v>1</v>
      </c>
      <c r="J31" s="13"/>
      <c r="K31" s="13"/>
      <c r="L31" s="14"/>
      <c r="Q31" s="21"/>
      <c r="R31" s="25"/>
      <c r="S31" s="25"/>
      <c r="T31" s="25"/>
      <c r="U31" s="25"/>
      <c r="V31" s="25"/>
      <c r="W31" s="25"/>
      <c r="AD31" s="2"/>
    </row>
    <row r="32" spans="1:60">
      <c r="A32" s="1" t="s">
        <v>46</v>
      </c>
      <c r="C32" s="44" t="s">
        <v>45</v>
      </c>
      <c r="D32" s="39" t="s">
        <v>39</v>
      </c>
      <c r="F32" s="7" t="s">
        <v>7</v>
      </c>
      <c r="J32" s="13"/>
      <c r="K32" s="13"/>
      <c r="L32" s="14"/>
      <c r="M32" s="1"/>
      <c r="Q32" s="21"/>
      <c r="R32" s="25"/>
      <c r="S32" s="25"/>
      <c r="T32" s="25"/>
      <c r="U32" s="25"/>
      <c r="V32" s="25"/>
      <c r="W32" s="25"/>
      <c r="X32" s="1"/>
    </row>
    <row r="33" spans="1:30">
      <c r="A33" s="1" t="s">
        <v>84</v>
      </c>
      <c r="C33" s="38" t="s">
        <v>38</v>
      </c>
      <c r="D33" s="39" t="s">
        <v>39</v>
      </c>
      <c r="F33" s="48" t="s">
        <v>6</v>
      </c>
      <c r="Q33" s="21"/>
      <c r="R33" s="25"/>
      <c r="S33" s="25"/>
      <c r="T33" s="25"/>
      <c r="U33" s="25"/>
      <c r="V33" s="25"/>
      <c r="W33" s="25"/>
      <c r="AD33" s="2"/>
    </row>
    <row r="34" spans="1:30" ht="18" customHeight="1">
      <c r="A34" s="1" t="s">
        <v>47</v>
      </c>
      <c r="C34" s="38" t="s">
        <v>38</v>
      </c>
      <c r="D34" s="39" t="s">
        <v>39</v>
      </c>
      <c r="F34" s="1" t="s">
        <v>0</v>
      </c>
      <c r="Q34" s="21"/>
      <c r="R34" s="25"/>
      <c r="S34" s="25"/>
      <c r="T34" s="25"/>
      <c r="U34" s="25"/>
      <c r="V34" s="25"/>
      <c r="W34" s="25"/>
    </row>
    <row r="35" spans="1:30" ht="21.75" customHeight="1">
      <c r="A35" s="1" t="s">
        <v>85</v>
      </c>
      <c r="C35" s="38" t="s">
        <v>38</v>
      </c>
      <c r="D35" s="39" t="s">
        <v>39</v>
      </c>
      <c r="F35" s="1" t="s">
        <v>8</v>
      </c>
      <c r="Q35" s="21"/>
      <c r="R35" s="25"/>
      <c r="S35" s="25"/>
      <c r="T35" s="25"/>
      <c r="U35" s="25"/>
      <c r="V35" s="25"/>
      <c r="W35" s="25"/>
    </row>
    <row r="36" spans="1:30" ht="18" customHeight="1">
      <c r="A36" s="1" t="s">
        <v>48</v>
      </c>
      <c r="C36" s="38" t="s">
        <v>38</v>
      </c>
      <c r="D36" s="39" t="s">
        <v>39</v>
      </c>
      <c r="F36" s="1" t="s">
        <v>8</v>
      </c>
      <c r="Q36" s="21"/>
      <c r="R36" s="25"/>
      <c r="S36" s="25"/>
      <c r="T36" s="25"/>
      <c r="U36" s="25"/>
      <c r="V36" s="25"/>
      <c r="W36" s="25"/>
    </row>
    <row r="37" spans="1:30" ht="20.25" customHeight="1">
      <c r="Q37" s="26"/>
      <c r="R37" s="27"/>
      <c r="S37" s="27"/>
      <c r="T37" s="27"/>
      <c r="U37" s="27"/>
      <c r="V37" s="27"/>
      <c r="W37" s="27"/>
    </row>
    <row r="38" spans="1:30" ht="18.75" customHeight="1">
      <c r="A38" s="1" t="s">
        <v>67</v>
      </c>
      <c r="C38" s="38" t="s">
        <v>77</v>
      </c>
      <c r="D38" s="39" t="s">
        <v>71</v>
      </c>
      <c r="F38" s="56" t="s">
        <v>22</v>
      </c>
      <c r="Q38" s="21"/>
      <c r="R38" s="25"/>
      <c r="S38" s="25"/>
      <c r="T38" s="25"/>
      <c r="U38" s="25"/>
      <c r="V38" s="25"/>
      <c r="W38" s="25"/>
    </row>
    <row r="39" spans="1:30" ht="18" customHeight="1">
      <c r="Q39" s="21"/>
      <c r="R39" s="25"/>
      <c r="S39" s="25"/>
      <c r="T39" s="25"/>
      <c r="U39" s="25"/>
      <c r="V39" s="25"/>
      <c r="W39" s="25"/>
    </row>
    <row r="40" spans="1:30">
      <c r="A40" s="92" t="s">
        <v>68</v>
      </c>
      <c r="B40" s="92"/>
      <c r="C40" s="112" t="s">
        <v>109</v>
      </c>
      <c r="D40" s="39" t="s">
        <v>71</v>
      </c>
      <c r="F40" s="56" t="s">
        <v>10</v>
      </c>
      <c r="Q40" s="21"/>
      <c r="R40" s="25"/>
      <c r="S40" s="25"/>
      <c r="T40" s="25"/>
      <c r="U40" s="25"/>
      <c r="V40" s="25"/>
      <c r="W40" s="25"/>
    </row>
    <row r="41" spans="1:30" ht="15" customHeight="1">
      <c r="Q41" s="21"/>
      <c r="R41" s="25"/>
      <c r="S41" s="25"/>
      <c r="T41" s="25"/>
      <c r="U41" s="25"/>
      <c r="V41" s="25"/>
      <c r="W41" s="25"/>
    </row>
    <row r="42" spans="1:30" ht="15" customHeight="1">
      <c r="A42" s="92" t="s">
        <v>90</v>
      </c>
      <c r="B42" s="92"/>
      <c r="C42" s="132" t="s">
        <v>74</v>
      </c>
      <c r="D42" s="39" t="s">
        <v>71</v>
      </c>
      <c r="F42" s="54" t="s">
        <v>89</v>
      </c>
      <c r="Q42" s="21"/>
      <c r="R42" s="25"/>
      <c r="S42" s="25"/>
      <c r="T42" s="25"/>
      <c r="U42" s="25"/>
      <c r="V42" s="25"/>
      <c r="W42" s="25"/>
    </row>
    <row r="43" spans="1:30" ht="18" customHeight="1">
      <c r="Q43" s="21"/>
      <c r="R43" s="25"/>
      <c r="S43" s="25"/>
      <c r="T43" s="25"/>
      <c r="U43" s="25"/>
      <c r="V43" s="25"/>
      <c r="W43" s="25"/>
    </row>
    <row r="44" spans="1:30" ht="16.5" customHeight="1">
      <c r="A44" s="92" t="s">
        <v>111</v>
      </c>
      <c r="B44" s="92"/>
      <c r="C44" s="112" t="s">
        <v>110</v>
      </c>
      <c r="D44" s="108" t="s">
        <v>72</v>
      </c>
      <c r="E44" s="15" t="s">
        <v>82</v>
      </c>
      <c r="F44" s="48" t="s">
        <v>73</v>
      </c>
      <c r="Q44" s="21"/>
      <c r="R44" s="25"/>
      <c r="S44" s="25"/>
      <c r="T44" s="25"/>
      <c r="U44" s="25"/>
      <c r="V44" s="25"/>
      <c r="W44" s="25"/>
    </row>
    <row r="45" spans="1:30" ht="15" customHeight="1">
      <c r="Q45" s="21"/>
      <c r="R45" s="25"/>
      <c r="S45" s="25"/>
      <c r="T45" s="25"/>
      <c r="U45" s="25"/>
      <c r="V45" s="25"/>
      <c r="W45" s="25"/>
    </row>
    <row r="46" spans="1:30" ht="15" customHeight="1">
      <c r="A46" s="92" t="s">
        <v>104</v>
      </c>
      <c r="B46" s="92"/>
      <c r="C46" s="132" t="s">
        <v>75</v>
      </c>
      <c r="D46" s="39" t="s">
        <v>71</v>
      </c>
      <c r="F46" s="54" t="s">
        <v>70</v>
      </c>
      <c r="Q46" s="28"/>
      <c r="R46" s="29"/>
      <c r="S46" s="29"/>
      <c r="T46" s="29"/>
      <c r="U46" s="29"/>
      <c r="V46" s="29"/>
      <c r="W46" s="29"/>
    </row>
    <row r="47" spans="1:30" ht="15" customHeight="1">
      <c r="Q47" s="21"/>
      <c r="R47" s="25"/>
      <c r="S47" s="25"/>
      <c r="T47" s="25"/>
      <c r="U47" s="25"/>
      <c r="V47" s="25"/>
      <c r="W47" s="25"/>
    </row>
    <row r="48" spans="1:30" ht="15" customHeight="1">
      <c r="A48" s="92" t="s">
        <v>88</v>
      </c>
      <c r="B48" s="92"/>
      <c r="C48" s="132" t="s">
        <v>76</v>
      </c>
      <c r="D48" s="39" t="s">
        <v>71</v>
      </c>
      <c r="F48" s="56" t="s">
        <v>10</v>
      </c>
      <c r="Q48" s="21"/>
      <c r="R48" s="25"/>
      <c r="S48" s="25"/>
      <c r="T48" s="25"/>
      <c r="U48" s="25"/>
      <c r="V48" s="25"/>
      <c r="W48" s="25"/>
    </row>
    <row r="49" spans="1:42" ht="15" customHeight="1">
      <c r="Q49" s="21"/>
      <c r="R49" s="25"/>
      <c r="S49" s="25"/>
      <c r="T49" s="25"/>
      <c r="U49" s="25"/>
      <c r="V49" s="25"/>
      <c r="W49" s="25"/>
    </row>
    <row r="50" spans="1:42" ht="15" customHeight="1">
      <c r="A50" t="s">
        <v>91</v>
      </c>
      <c r="B50" s="168"/>
      <c r="C50" s="19" t="s">
        <v>86</v>
      </c>
      <c r="D50" s="39" t="s">
        <v>71</v>
      </c>
      <c r="F50" s="5" t="s">
        <v>87</v>
      </c>
      <c r="Q50" s="21"/>
      <c r="R50" s="25"/>
      <c r="S50" s="25"/>
      <c r="T50" s="25"/>
      <c r="U50" s="25"/>
      <c r="V50" s="25"/>
      <c r="W50" s="25"/>
    </row>
    <row r="51" spans="1:42" ht="15" customHeight="1">
      <c r="G51" s="13"/>
      <c r="H51" s="106"/>
      <c r="I51" s="13"/>
      <c r="J51" s="13"/>
      <c r="K51" s="14"/>
      <c r="L51" s="14"/>
      <c r="M51" s="121"/>
      <c r="N51" s="5"/>
      <c r="O51" s="5"/>
      <c r="P51" s="5"/>
      <c r="Q51" s="122"/>
      <c r="R51" s="123"/>
      <c r="S51" s="123"/>
      <c r="T51" s="123"/>
      <c r="U51" s="123"/>
      <c r="V51" s="123"/>
      <c r="W51" s="123"/>
      <c r="Y51" s="5"/>
      <c r="Z51" s="5"/>
      <c r="AA51" s="5"/>
      <c r="AB51" s="5"/>
      <c r="AC51" s="5"/>
      <c r="AD51" s="5"/>
      <c r="AE51" s="5"/>
    </row>
    <row r="52" spans="1:42" ht="15" customHeight="1">
      <c r="E52" s="13"/>
      <c r="F52" s="13"/>
      <c r="G52" s="13"/>
      <c r="H52" s="13"/>
      <c r="I52" s="13"/>
      <c r="J52" s="13"/>
      <c r="K52" s="14"/>
      <c r="L52" s="14"/>
      <c r="M52" s="121"/>
      <c r="N52" s="5"/>
      <c r="O52" s="5"/>
      <c r="P52" s="5"/>
      <c r="Q52" s="124"/>
      <c r="R52" s="124"/>
      <c r="S52" s="124"/>
      <c r="T52" s="124"/>
      <c r="U52" s="124"/>
      <c r="V52" s="123"/>
      <c r="W52" s="123"/>
      <c r="Y52" s="5"/>
      <c r="Z52" s="5"/>
      <c r="AA52" s="5"/>
      <c r="AB52" s="5"/>
      <c r="AC52" s="5"/>
      <c r="AD52" s="5"/>
      <c r="AE52" s="5"/>
    </row>
    <row r="53" spans="1:42" ht="15" customHeight="1">
      <c r="E53" s="13"/>
      <c r="F53" s="30"/>
      <c r="G53" s="31"/>
      <c r="H53" s="31"/>
      <c r="I53" s="31"/>
      <c r="J53" s="31"/>
      <c r="K53" s="125"/>
      <c r="L53" s="125"/>
      <c r="M53" s="14"/>
      <c r="N53" s="5"/>
      <c r="O53" s="5"/>
      <c r="P53" s="5"/>
      <c r="Q53" s="126"/>
      <c r="R53" s="125"/>
      <c r="S53" s="125"/>
      <c r="T53" s="125"/>
      <c r="U53" s="125"/>
      <c r="V53" s="125"/>
      <c r="W53" s="125"/>
      <c r="Y53" s="5"/>
      <c r="Z53" s="5"/>
      <c r="AA53" s="5"/>
      <c r="AB53" s="5"/>
      <c r="AC53" s="5"/>
      <c r="AD53" s="5"/>
      <c r="AE53" s="5"/>
    </row>
    <row r="54" spans="1:42" ht="15" customHeight="1">
      <c r="E54" s="13"/>
      <c r="F54" s="32"/>
      <c r="G54" s="12"/>
      <c r="H54" s="12"/>
      <c r="I54" s="12"/>
      <c r="J54" s="12"/>
      <c r="K54" s="127"/>
      <c r="L54" s="127"/>
      <c r="M54" s="14"/>
      <c r="N54" s="5"/>
      <c r="O54" s="5"/>
      <c r="P54" s="5"/>
      <c r="Q54" s="128"/>
      <c r="R54" s="127"/>
      <c r="S54" s="127"/>
      <c r="T54" s="127"/>
      <c r="U54" s="127"/>
      <c r="V54" s="127"/>
      <c r="W54" s="127"/>
      <c r="Y54" s="5"/>
      <c r="Z54" s="5"/>
      <c r="AA54" s="5"/>
      <c r="AB54" s="5"/>
      <c r="AC54" s="5"/>
      <c r="AD54" s="5"/>
      <c r="AE54" s="5"/>
    </row>
    <row r="55" spans="1:42" ht="15" customHeight="1">
      <c r="E55" s="13"/>
      <c r="F55" s="13"/>
      <c r="G55" s="13"/>
      <c r="H55" s="13"/>
      <c r="I55" s="13"/>
      <c r="J55" s="13"/>
      <c r="K55" s="14"/>
      <c r="L55" s="14"/>
      <c r="M55" s="121"/>
      <c r="N55" s="5"/>
      <c r="O55" s="5"/>
      <c r="P55" s="5"/>
      <c r="Q55" s="14"/>
      <c r="R55" s="14"/>
      <c r="S55" s="14"/>
      <c r="T55" s="14"/>
      <c r="U55" s="14"/>
      <c r="V55" s="14"/>
      <c r="W55" s="14"/>
      <c r="Y55" s="5"/>
      <c r="Z55" s="14"/>
      <c r="AA55" s="14"/>
      <c r="AB55" s="14"/>
      <c r="AC55" s="14"/>
      <c r="AD55" s="14"/>
      <c r="AE55" s="14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4"/>
    </row>
    <row r="56" spans="1:42" ht="15" customHeight="1">
      <c r="E56" s="13"/>
      <c r="F56" s="13"/>
      <c r="G56" s="13"/>
      <c r="H56" s="13"/>
      <c r="I56" s="13"/>
      <c r="J56" s="13"/>
      <c r="K56" s="14"/>
      <c r="L56" s="14"/>
      <c r="M56" s="121"/>
      <c r="N56" s="14"/>
      <c r="O56" s="14"/>
      <c r="P56" s="14"/>
      <c r="Q56" s="14"/>
      <c r="R56" s="14"/>
      <c r="S56" s="14"/>
      <c r="T56" s="14"/>
      <c r="U56" s="14"/>
      <c r="V56" s="14"/>
      <c r="W56" s="14"/>
      <c r="Y56" s="5"/>
      <c r="Z56" s="14"/>
      <c r="AA56" s="14"/>
      <c r="AB56" s="14"/>
      <c r="AC56" s="14"/>
      <c r="AD56" s="14"/>
      <c r="AE56" s="14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4"/>
    </row>
    <row r="57" spans="1:42" ht="15" customHeight="1">
      <c r="E57" s="13"/>
      <c r="F57" s="13"/>
      <c r="G57" s="13"/>
      <c r="H57" s="13"/>
      <c r="I57" s="13"/>
      <c r="J57" s="13"/>
      <c r="K57" s="14"/>
      <c r="L57" s="14"/>
      <c r="M57" s="121"/>
      <c r="N57" s="14"/>
      <c r="O57" s="14"/>
      <c r="P57" s="14"/>
      <c r="Q57" s="14"/>
      <c r="R57" s="14"/>
      <c r="S57" s="14"/>
      <c r="T57" s="14"/>
      <c r="U57" s="14"/>
      <c r="V57" s="14"/>
      <c r="W57" s="14"/>
      <c r="Y57" s="5"/>
      <c r="Z57" s="14"/>
      <c r="AA57" s="14"/>
      <c r="AB57" s="14"/>
      <c r="AC57" s="14"/>
      <c r="AD57" s="14"/>
      <c r="AE57" s="14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4"/>
    </row>
    <row r="58" spans="1:42">
      <c r="E58" s="13"/>
      <c r="F58" s="119"/>
      <c r="G58" s="13"/>
      <c r="H58" s="116"/>
      <c r="I58" s="117"/>
      <c r="J58" s="117"/>
      <c r="K58" s="129"/>
      <c r="L58" s="129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4"/>
      <c r="Y58" s="5"/>
      <c r="Z58" s="14"/>
      <c r="AA58" s="14"/>
      <c r="AB58" s="14"/>
      <c r="AC58" s="130"/>
      <c r="AD58" s="130"/>
      <c r="AE58" s="130"/>
      <c r="AF58" s="118"/>
      <c r="AG58" s="118"/>
      <c r="AH58" s="13"/>
      <c r="AI58" s="13"/>
      <c r="AJ58" s="13"/>
      <c r="AK58" s="13"/>
      <c r="AL58" s="13"/>
      <c r="AM58" s="13"/>
      <c r="AN58" s="13"/>
      <c r="AO58" s="13"/>
      <c r="AP58" s="14"/>
    </row>
    <row r="59" spans="1:42">
      <c r="E59" s="13"/>
      <c r="F59" s="13" t="s">
        <v>96</v>
      </c>
      <c r="G59" s="13"/>
      <c r="H59" s="13">
        <v>21504.53</v>
      </c>
      <c r="I59" s="13">
        <v>33467.19</v>
      </c>
      <c r="J59" s="13">
        <v>43229.07</v>
      </c>
      <c r="K59" s="14">
        <v>12322.35</v>
      </c>
      <c r="L59" s="14">
        <f>K59+J59+I59+H59</f>
        <v>110523.14</v>
      </c>
      <c r="M59" s="121">
        <v>11408.58</v>
      </c>
      <c r="N59" s="14">
        <v>9353.57</v>
      </c>
      <c r="O59" s="14">
        <v>32083.43</v>
      </c>
      <c r="P59" s="14">
        <v>5994.38</v>
      </c>
      <c r="Q59" s="14"/>
      <c r="R59" s="14"/>
      <c r="S59" s="14"/>
      <c r="T59" s="14"/>
      <c r="U59" s="14"/>
      <c r="V59" s="14"/>
      <c r="W59" s="14"/>
      <c r="Y59" s="5"/>
      <c r="Z59" s="14"/>
      <c r="AA59" s="14"/>
      <c r="AB59" s="14"/>
      <c r="AC59" s="14"/>
      <c r="AD59" s="14"/>
      <c r="AE59" s="14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4"/>
    </row>
    <row r="60" spans="1:42">
      <c r="E60" s="13"/>
      <c r="F60" s="13" t="s">
        <v>97</v>
      </c>
      <c r="G60" s="13"/>
      <c r="H60" s="13"/>
      <c r="I60" s="13">
        <v>2376.66</v>
      </c>
      <c r="J60" s="13">
        <v>2893.78</v>
      </c>
      <c r="K60" s="14">
        <v>1111.4100000000001</v>
      </c>
      <c r="L60" s="14">
        <f>K60+J60+I60</f>
        <v>6381.85</v>
      </c>
      <c r="M60" s="121"/>
      <c r="N60" s="121">
        <f>N19-N59</f>
        <v>587.78000000000065</v>
      </c>
      <c r="O60" s="121">
        <f>O19-O59</f>
        <v>2315.8499999999985</v>
      </c>
      <c r="P60" s="121">
        <f>P19-P59</f>
        <v>548.22999999999956</v>
      </c>
      <c r="Q60" s="14"/>
      <c r="R60" s="14"/>
      <c r="S60" s="121"/>
      <c r="T60" s="14"/>
      <c r="U60" s="130"/>
      <c r="V60" s="14"/>
      <c r="W60" s="14"/>
      <c r="Y60" s="5"/>
      <c r="Z60" s="14"/>
      <c r="AA60" s="121"/>
      <c r="AB60" s="14"/>
      <c r="AC60" s="14"/>
      <c r="AD60" s="121"/>
      <c r="AE60" s="121"/>
      <c r="AF60" s="13"/>
      <c r="AG60" s="13"/>
      <c r="AH60" s="104"/>
      <c r="AI60" s="13"/>
      <c r="AJ60" s="13"/>
      <c r="AK60" s="13"/>
      <c r="AL60" s="13"/>
      <c r="AM60" s="13"/>
      <c r="AN60" s="13"/>
      <c r="AO60" s="13"/>
      <c r="AP60" s="14"/>
    </row>
    <row r="61" spans="1:42">
      <c r="K61" s="5"/>
      <c r="M61" s="4"/>
      <c r="N61" s="4"/>
      <c r="O61" s="5"/>
      <c r="P61" s="5"/>
      <c r="Q61" s="5"/>
      <c r="R61" s="5"/>
      <c r="S61" s="5"/>
      <c r="T61" s="5"/>
      <c r="U61" s="5"/>
      <c r="V61" s="5"/>
      <c r="W61" s="5"/>
      <c r="Y61" s="5"/>
      <c r="Z61" s="14"/>
      <c r="AA61" s="14"/>
      <c r="AB61" s="121"/>
      <c r="AC61" s="121"/>
      <c r="AD61" s="14"/>
      <c r="AE61" s="14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4"/>
    </row>
    <row r="62" spans="1:42">
      <c r="K62" s="5"/>
      <c r="M62" s="4"/>
      <c r="N62" s="5"/>
      <c r="O62" s="5"/>
      <c r="P62" s="5"/>
      <c r="Q62" s="5"/>
      <c r="R62" s="5"/>
      <c r="S62" s="5"/>
      <c r="T62" s="5"/>
      <c r="U62" s="5"/>
      <c r="V62" s="5"/>
      <c r="W62" s="5"/>
      <c r="Y62" s="5"/>
      <c r="Z62" s="5"/>
      <c r="AA62" s="5"/>
      <c r="AB62" s="5"/>
      <c r="AC62" s="5"/>
      <c r="AD62" s="5"/>
      <c r="AE62" s="5"/>
    </row>
    <row r="63" spans="1:42">
      <c r="K63" s="5"/>
      <c r="M63" s="4"/>
      <c r="N63" s="4"/>
      <c r="O63" s="5"/>
      <c r="P63" s="5"/>
      <c r="Q63" s="5"/>
      <c r="R63" s="5"/>
      <c r="S63" s="5"/>
      <c r="T63" s="5"/>
      <c r="U63" s="5"/>
      <c r="V63" s="5"/>
      <c r="W63" s="5"/>
      <c r="Y63" s="5"/>
      <c r="Z63" s="5"/>
      <c r="AA63" s="5"/>
      <c r="AB63" s="5"/>
      <c r="AC63" s="5"/>
      <c r="AD63" s="5"/>
      <c r="AE63" s="5"/>
    </row>
    <row r="64" spans="1:42">
      <c r="K64" s="5"/>
      <c r="M64" s="4"/>
      <c r="N64" s="5"/>
      <c r="O64" s="5"/>
      <c r="P64" s="5"/>
      <c r="Q64" s="5"/>
      <c r="R64" s="5"/>
      <c r="S64" s="5"/>
      <c r="T64" s="5"/>
      <c r="U64" s="5"/>
      <c r="V64" s="5"/>
      <c r="W64" s="5"/>
      <c r="Y64" s="5"/>
      <c r="Z64" s="5"/>
      <c r="AA64" s="5"/>
      <c r="AB64" s="5"/>
      <c r="AC64" s="5"/>
      <c r="AD64" s="5"/>
      <c r="AE64" s="5"/>
    </row>
    <row r="65" spans="14:14">
      <c r="N65" s="136"/>
    </row>
  </sheetData>
  <autoFilter ref="AK10:AK27">
    <filterColumn colId="0"/>
  </autoFilter>
  <mergeCells count="22">
    <mergeCell ref="AK6:AQ6"/>
    <mergeCell ref="AC7:AH7"/>
    <mergeCell ref="AR7:AV7"/>
    <mergeCell ref="AW7:BA7"/>
    <mergeCell ref="AR8:AV8"/>
    <mergeCell ref="AW8:BA8"/>
    <mergeCell ref="W8:W9"/>
    <mergeCell ref="F9:F10"/>
    <mergeCell ref="F7:F8"/>
    <mergeCell ref="AK7:AK9"/>
    <mergeCell ref="AL7:AQ7"/>
    <mergeCell ref="AM8:AQ8"/>
    <mergeCell ref="H8:L8"/>
    <mergeCell ref="M8:Q8"/>
    <mergeCell ref="V8:V9"/>
    <mergeCell ref="R8:U8"/>
    <mergeCell ref="R7:V7"/>
    <mergeCell ref="M7:Q7"/>
    <mergeCell ref="G7:L7"/>
    <mergeCell ref="X8:AB8"/>
    <mergeCell ref="AC8:AH8"/>
    <mergeCell ref="X7:AB7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9"/>
  <sheetViews>
    <sheetView topLeftCell="A7" workbookViewId="0">
      <selection activeCell="F2" sqref="A2:F4"/>
    </sheetView>
  </sheetViews>
  <sheetFormatPr defaultRowHeight="15"/>
  <cols>
    <col min="1" max="1" width="24.7109375" customWidth="1"/>
    <col min="2" max="2" width="15.85546875" customWidth="1"/>
    <col min="3" max="3" width="14.5703125" customWidth="1"/>
    <col min="4" max="4" width="16.42578125" customWidth="1"/>
    <col min="5" max="5" width="13.85546875" customWidth="1"/>
    <col min="6" max="6" width="31.85546875" customWidth="1"/>
    <col min="7" max="7" width="15.28515625" customWidth="1"/>
    <col min="8" max="8" width="12" customWidth="1"/>
    <col min="9" max="9" width="12.85546875" customWidth="1"/>
    <col min="10" max="11" width="11.85546875" customWidth="1"/>
    <col min="12" max="12" width="14.42578125" customWidth="1"/>
    <col min="13" max="13" width="12.140625" customWidth="1"/>
    <col min="14" max="14" width="12.42578125" customWidth="1"/>
    <col min="15" max="15" width="11" customWidth="1"/>
    <col min="16" max="16" width="11.42578125" customWidth="1"/>
    <col min="17" max="17" width="13.85546875" customWidth="1"/>
    <col min="18" max="18" width="11.28515625" customWidth="1"/>
    <col min="19" max="19" width="13" customWidth="1"/>
    <col min="20" max="20" width="11.85546875" customWidth="1"/>
    <col min="21" max="21" width="13.5703125" customWidth="1"/>
    <col min="22" max="22" width="14.28515625" customWidth="1"/>
    <col min="23" max="23" width="15.42578125" customWidth="1"/>
    <col min="24" max="24" width="14" customWidth="1"/>
    <col min="25" max="25" width="13" customWidth="1"/>
    <col min="26" max="27" width="11.85546875" customWidth="1"/>
    <col min="28" max="28" width="12.140625" customWidth="1"/>
    <col min="29" max="29" width="13.85546875" customWidth="1"/>
    <col min="30" max="30" width="13.140625" customWidth="1"/>
    <col min="31" max="31" width="11.28515625" customWidth="1"/>
    <col min="32" max="32" width="12.28515625" customWidth="1"/>
    <col min="33" max="33" width="14.42578125" customWidth="1"/>
    <col min="34" max="34" width="14.5703125" customWidth="1"/>
    <col min="37" max="37" width="29.7109375" customWidth="1"/>
    <col min="38" max="38" width="14.7109375" customWidth="1"/>
    <col min="39" max="39" width="14.42578125" customWidth="1"/>
    <col min="40" max="40" width="12.140625" customWidth="1"/>
    <col min="41" max="41" width="13.5703125" customWidth="1"/>
    <col min="42" max="42" width="13" customWidth="1"/>
    <col min="43" max="43" width="14.5703125" customWidth="1"/>
    <col min="44" max="44" width="13.42578125" customWidth="1"/>
    <col min="45" max="45" width="13" customWidth="1"/>
    <col min="46" max="46" width="14.85546875" customWidth="1"/>
    <col min="47" max="47" width="12" customWidth="1"/>
    <col min="48" max="48" width="12.28515625" customWidth="1"/>
    <col min="49" max="49" width="12.7109375" customWidth="1"/>
    <col min="50" max="50" width="14.140625" customWidth="1"/>
    <col min="51" max="51" width="15.28515625" customWidth="1"/>
    <col min="52" max="52" width="13" customWidth="1"/>
    <col min="53" max="53" width="12.7109375" customWidth="1"/>
  </cols>
  <sheetData>
    <row r="1" spans="1:60" ht="135">
      <c r="A1" s="1"/>
      <c r="B1" s="1"/>
      <c r="C1" s="1"/>
      <c r="D1" s="5"/>
      <c r="E1" s="1"/>
      <c r="F1" s="1"/>
      <c r="G1" s="1"/>
      <c r="H1" s="1"/>
      <c r="I1" s="1"/>
      <c r="J1" s="1"/>
      <c r="K1" s="1"/>
      <c r="L1" s="5"/>
      <c r="M1" s="2"/>
      <c r="N1" s="1"/>
      <c r="O1" s="1"/>
      <c r="P1" s="17" t="s">
        <v>41</v>
      </c>
      <c r="Q1" s="1"/>
      <c r="R1" s="16" t="s">
        <v>29</v>
      </c>
      <c r="S1" s="17" t="s">
        <v>33</v>
      </c>
      <c r="T1" s="17" t="s">
        <v>34</v>
      </c>
      <c r="U1" s="17" t="s">
        <v>41</v>
      </c>
      <c r="V1" s="1"/>
      <c r="W1" s="1"/>
      <c r="X1" s="17" t="s">
        <v>29</v>
      </c>
      <c r="Y1" s="17" t="s">
        <v>33</v>
      </c>
      <c r="Z1" s="17" t="s">
        <v>34</v>
      </c>
      <c r="AA1" s="17" t="s">
        <v>35</v>
      </c>
      <c r="AB1" s="1"/>
      <c r="AC1" s="16" t="s">
        <v>29</v>
      </c>
      <c r="AD1" s="18" t="s">
        <v>37</v>
      </c>
      <c r="AE1" s="17" t="s">
        <v>58</v>
      </c>
      <c r="AF1" s="17" t="s">
        <v>35</v>
      </c>
      <c r="AG1" s="1"/>
      <c r="AH1" s="1"/>
      <c r="AI1" s="1"/>
      <c r="AJ1" s="1"/>
      <c r="AK1" s="1"/>
      <c r="AL1" s="1"/>
      <c r="AM1" s="1"/>
      <c r="AN1" s="1"/>
      <c r="AO1" s="1"/>
      <c r="AP1" s="5"/>
      <c r="AQ1" s="1"/>
      <c r="AR1" s="1"/>
      <c r="AS1" s="1"/>
      <c r="AT1" s="1"/>
      <c r="AU1" s="5"/>
      <c r="AV1" s="1"/>
      <c r="AW1" s="1"/>
      <c r="AX1" s="1"/>
      <c r="AY1" s="1"/>
      <c r="AZ1" s="1"/>
      <c r="BA1" s="1"/>
      <c r="BB1" s="1"/>
      <c r="BC1" s="1"/>
      <c r="BD1" s="1"/>
    </row>
    <row r="2" spans="1:60" ht="90">
      <c r="A2" s="1"/>
      <c r="B2" s="1"/>
      <c r="C2" s="1"/>
      <c r="D2" s="5"/>
      <c r="E2" s="1" t="s">
        <v>50</v>
      </c>
      <c r="F2" s="1"/>
      <c r="G2" s="1"/>
      <c r="H2" s="1"/>
      <c r="I2" s="1"/>
      <c r="J2" s="1"/>
      <c r="K2" s="1"/>
      <c r="L2" s="5"/>
      <c r="M2" s="2"/>
      <c r="N2" s="1"/>
      <c r="O2" s="1"/>
      <c r="P2" s="17" t="s">
        <v>83</v>
      </c>
      <c r="Q2" s="1"/>
      <c r="R2" s="17" t="s">
        <v>36</v>
      </c>
      <c r="S2" s="17" t="s">
        <v>36</v>
      </c>
      <c r="T2" s="17" t="s">
        <v>36</v>
      </c>
      <c r="U2" s="17" t="s">
        <v>83</v>
      </c>
      <c r="V2" s="1"/>
      <c r="W2" s="1"/>
      <c r="X2" s="17" t="s">
        <v>36</v>
      </c>
      <c r="Y2" s="17" t="s">
        <v>36</v>
      </c>
      <c r="Z2" s="17" t="s">
        <v>36</v>
      </c>
      <c r="AA2" s="17" t="s">
        <v>36</v>
      </c>
      <c r="AB2" s="1"/>
      <c r="AC2" s="17" t="s">
        <v>36</v>
      </c>
      <c r="AD2" s="17" t="s">
        <v>36</v>
      </c>
      <c r="AE2" s="17" t="s">
        <v>36</v>
      </c>
      <c r="AF2" s="17" t="s">
        <v>36</v>
      </c>
      <c r="AG2" s="1"/>
      <c r="AH2" s="1"/>
      <c r="AI2" s="1"/>
      <c r="AJ2" s="1"/>
      <c r="AK2" s="1"/>
      <c r="AL2" s="1"/>
      <c r="AM2" s="1"/>
      <c r="AN2" s="1"/>
      <c r="AO2" s="1"/>
      <c r="AP2" s="5"/>
      <c r="AQ2" s="1"/>
      <c r="AR2" s="1"/>
      <c r="AS2" s="103"/>
      <c r="AT2" s="15"/>
      <c r="AU2" s="108"/>
      <c r="AV2" s="15"/>
      <c r="AW2" s="15"/>
      <c r="AX2" s="103"/>
      <c r="AY2" s="1"/>
      <c r="AZ2" s="1"/>
      <c r="BA2" s="1"/>
      <c r="BB2" s="1"/>
      <c r="BC2" s="1"/>
      <c r="BD2" s="1"/>
    </row>
    <row r="3" spans="1:60">
      <c r="A3" s="1"/>
      <c r="B3" s="1"/>
      <c r="C3" s="1"/>
      <c r="D3" s="5"/>
      <c r="E3" s="53"/>
      <c r="F3" s="1" t="s">
        <v>51</v>
      </c>
      <c r="G3" s="1"/>
      <c r="H3" s="1"/>
      <c r="I3" s="42"/>
      <c r="J3" s="1" t="s">
        <v>54</v>
      </c>
      <c r="K3" s="1"/>
      <c r="L3" s="5"/>
      <c r="M3" s="2"/>
      <c r="N3" s="2"/>
      <c r="O3" s="1"/>
      <c r="P3" s="41">
        <v>1.2649999999999999</v>
      </c>
      <c r="Q3" s="1"/>
      <c r="R3" s="40">
        <v>1.02</v>
      </c>
      <c r="S3" s="42"/>
      <c r="T3" s="41">
        <v>1.47</v>
      </c>
      <c r="U3" s="41">
        <v>1.2649999999999999</v>
      </c>
      <c r="V3" s="1"/>
      <c r="W3" s="1"/>
      <c r="X3" s="40">
        <v>1</v>
      </c>
      <c r="Y3" s="42">
        <v>1</v>
      </c>
      <c r="Z3" s="41">
        <v>1</v>
      </c>
      <c r="AA3" s="42">
        <v>1</v>
      </c>
      <c r="AB3" s="42"/>
      <c r="AC3" s="40">
        <v>1</v>
      </c>
      <c r="AD3" s="19">
        <v>1</v>
      </c>
      <c r="AE3" s="41">
        <v>1</v>
      </c>
      <c r="AF3" s="41">
        <v>1</v>
      </c>
      <c r="AG3" s="1"/>
      <c r="AH3" s="1"/>
      <c r="AI3" s="1"/>
      <c r="AJ3" s="1"/>
      <c r="AK3" s="1"/>
      <c r="AL3" s="1"/>
      <c r="AM3" s="1"/>
      <c r="AN3" s="1"/>
      <c r="AO3" s="1"/>
      <c r="AP3" s="5"/>
      <c r="AQ3" s="1"/>
      <c r="AR3" s="1"/>
      <c r="AS3" s="15">
        <v>1.115</v>
      </c>
      <c r="AT3" s="15"/>
      <c r="AU3" s="108"/>
      <c r="AV3" s="15"/>
      <c r="AW3" s="15"/>
      <c r="AX3" s="15">
        <v>1.41</v>
      </c>
      <c r="AY3" s="1"/>
      <c r="AZ3" s="1"/>
      <c r="BA3" s="1"/>
      <c r="BB3" s="1"/>
      <c r="BC3" s="1"/>
      <c r="BD3" s="1"/>
    </row>
    <row r="4" spans="1:60">
      <c r="A4" s="1"/>
      <c r="B4" s="1"/>
      <c r="C4" s="1"/>
      <c r="D4" s="5"/>
      <c r="E4" s="33"/>
      <c r="F4" s="1" t="s">
        <v>52</v>
      </c>
      <c r="G4" s="1"/>
      <c r="H4" s="1"/>
      <c r="I4" s="1"/>
      <c r="J4" s="1"/>
      <c r="K4" s="1"/>
      <c r="L4" s="5"/>
      <c r="M4" s="2"/>
      <c r="N4" s="2"/>
      <c r="O4" s="1"/>
      <c r="P4" s="15" t="s">
        <v>40</v>
      </c>
      <c r="Q4" s="1"/>
      <c r="R4" s="15" t="s">
        <v>59</v>
      </c>
      <c r="S4" s="15" t="s">
        <v>40</v>
      </c>
      <c r="T4" s="15" t="s">
        <v>40</v>
      </c>
      <c r="U4" s="15" t="s">
        <v>40</v>
      </c>
      <c r="V4" s="1"/>
      <c r="W4" s="1"/>
      <c r="X4" s="15" t="s">
        <v>59</v>
      </c>
      <c r="Y4" s="15" t="s">
        <v>40</v>
      </c>
      <c r="Z4" s="15" t="s">
        <v>59</v>
      </c>
      <c r="AA4" s="15" t="s">
        <v>40</v>
      </c>
      <c r="AB4" s="1"/>
      <c r="AC4" s="15" t="s">
        <v>59</v>
      </c>
      <c r="AD4" s="19" t="s">
        <v>59</v>
      </c>
      <c r="AE4" s="15" t="s">
        <v>40</v>
      </c>
      <c r="AF4" s="15" t="s">
        <v>42</v>
      </c>
      <c r="AG4" s="1"/>
      <c r="AH4" s="1"/>
      <c r="AI4" s="1"/>
      <c r="AJ4" s="1"/>
      <c r="AK4" s="1"/>
      <c r="AL4" s="1"/>
      <c r="AM4" s="1"/>
      <c r="AN4" s="1"/>
      <c r="AO4" s="1"/>
      <c r="AP4" s="5"/>
      <c r="AQ4" s="1"/>
      <c r="AR4" s="1"/>
      <c r="AS4" s="15"/>
      <c r="AT4" s="15"/>
      <c r="AU4" s="108"/>
      <c r="AV4" s="15"/>
      <c r="AW4" s="15"/>
      <c r="AX4" s="15"/>
      <c r="AY4" s="1"/>
      <c r="AZ4" s="1"/>
      <c r="BA4" s="1"/>
      <c r="BB4" s="1"/>
      <c r="BC4" s="1"/>
      <c r="BD4" s="1"/>
    </row>
    <row r="5" spans="1:60">
      <c r="A5" s="1"/>
      <c r="B5" s="1"/>
      <c r="C5" s="1"/>
      <c r="D5" s="5"/>
      <c r="E5" s="54"/>
      <c r="F5" s="1" t="s">
        <v>53</v>
      </c>
      <c r="G5" s="1"/>
      <c r="H5" s="1"/>
      <c r="I5" s="1"/>
      <c r="J5" s="1"/>
      <c r="K5" s="1"/>
      <c r="L5" s="4">
        <f>K10</f>
        <v>1631338.43</v>
      </c>
      <c r="M5" s="2"/>
      <c r="N5" s="2">
        <f>P10+U10</f>
        <v>1853797.6765000001</v>
      </c>
      <c r="O5" s="1"/>
      <c r="P5" s="41">
        <v>1.29</v>
      </c>
      <c r="Q5" s="1"/>
      <c r="R5" s="41">
        <v>1.02</v>
      </c>
      <c r="S5" s="43">
        <v>1.38</v>
      </c>
      <c r="T5" s="41">
        <v>1.37</v>
      </c>
      <c r="U5" s="41">
        <v>1.29</v>
      </c>
      <c r="V5" s="1"/>
      <c r="W5" s="1"/>
      <c r="X5" s="41">
        <v>1.01</v>
      </c>
      <c r="Y5" s="43">
        <v>1.23</v>
      </c>
      <c r="Z5" s="41">
        <v>1.37</v>
      </c>
      <c r="AA5" s="41">
        <v>1.0585</v>
      </c>
      <c r="AB5" s="42"/>
      <c r="AC5" s="41">
        <v>1.024513</v>
      </c>
      <c r="AD5" s="19">
        <v>1.306832</v>
      </c>
      <c r="AE5" s="41">
        <v>1</v>
      </c>
      <c r="AF5" s="41">
        <v>1.0586</v>
      </c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1"/>
      <c r="AS5" s="1"/>
      <c r="AT5" s="1"/>
      <c r="AU5" s="5"/>
      <c r="AV5" s="1"/>
      <c r="AW5" s="1"/>
      <c r="AX5" s="1"/>
      <c r="AY5" s="1"/>
      <c r="AZ5" s="1"/>
      <c r="BA5" s="1"/>
      <c r="BB5" s="1"/>
      <c r="BC5" s="1"/>
      <c r="BD5" s="1"/>
    </row>
    <row r="6" spans="1:60">
      <c r="A6" s="1"/>
      <c r="B6" s="1"/>
      <c r="C6" s="1"/>
      <c r="D6" s="5"/>
      <c r="E6" s="1"/>
      <c r="F6" s="1"/>
      <c r="G6" s="1"/>
      <c r="H6" s="1"/>
      <c r="I6" s="1"/>
      <c r="J6" s="1"/>
      <c r="K6" s="2"/>
      <c r="L6" s="5"/>
      <c r="M6" s="2"/>
      <c r="N6" s="2"/>
      <c r="O6" s="1"/>
      <c r="P6" s="2"/>
      <c r="Q6" s="1"/>
      <c r="R6" s="1"/>
      <c r="S6" s="2"/>
      <c r="T6" s="1"/>
      <c r="U6" s="15"/>
      <c r="V6" s="1"/>
      <c r="W6" s="1"/>
      <c r="X6" s="5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5"/>
      <c r="AQ6" s="1"/>
      <c r="AR6" s="1">
        <f>(AR10*100)/AM$10</f>
        <v>101.71473097202315</v>
      </c>
      <c r="AS6" s="1">
        <f>(AS10*100)/AN$10</f>
        <v>111.49999999999999</v>
      </c>
      <c r="AT6" s="1">
        <f>(AT10*100)/AO$10</f>
        <v>121.27301655172616</v>
      </c>
      <c r="AU6" s="1">
        <f>(AU10*100)/AP$10</f>
        <v>113.63660920438195</v>
      </c>
      <c r="AV6" s="1"/>
      <c r="AW6" s="1">
        <f>(AW10*100)/AM$10</f>
        <v>104.75353237108025</v>
      </c>
      <c r="AX6" s="1">
        <f>(AX10*100)/AN$10</f>
        <v>144.58904615704137</v>
      </c>
      <c r="AY6" s="1">
        <f>(AY10*100)/AO$10</f>
        <v>137</v>
      </c>
      <c r="AZ6" s="1">
        <f>(AZ10*100)/AP$10</f>
        <v>120.06328671482349</v>
      </c>
      <c r="BA6" s="1"/>
      <c r="BB6" s="1"/>
      <c r="BC6" s="1"/>
      <c r="BD6" s="1"/>
    </row>
    <row r="7" spans="1:60">
      <c r="A7" s="1"/>
      <c r="B7" s="1"/>
      <c r="C7" s="1"/>
      <c r="D7" s="5"/>
      <c r="E7" s="1"/>
      <c r="F7" s="194" t="s">
        <v>18</v>
      </c>
      <c r="G7" s="196" t="s">
        <v>16</v>
      </c>
      <c r="H7" s="197"/>
      <c r="I7" s="197"/>
      <c r="J7" s="197"/>
      <c r="K7" s="197"/>
      <c r="L7" s="198"/>
      <c r="M7" s="196" t="s">
        <v>16</v>
      </c>
      <c r="N7" s="197"/>
      <c r="O7" s="197"/>
      <c r="P7" s="197"/>
      <c r="Q7" s="198"/>
      <c r="R7" s="196" t="s">
        <v>16</v>
      </c>
      <c r="S7" s="197"/>
      <c r="T7" s="197"/>
      <c r="U7" s="197"/>
      <c r="V7" s="197"/>
      <c r="W7" s="120"/>
      <c r="X7" s="196" t="s">
        <v>16</v>
      </c>
      <c r="Y7" s="197"/>
      <c r="Z7" s="197"/>
      <c r="AA7" s="197"/>
      <c r="AB7" s="198"/>
      <c r="AC7" s="196" t="s">
        <v>16</v>
      </c>
      <c r="AD7" s="197"/>
      <c r="AE7" s="197"/>
      <c r="AF7" s="197"/>
      <c r="AG7" s="197"/>
      <c r="AH7" s="198"/>
      <c r="AI7" s="1"/>
      <c r="AJ7" s="1"/>
      <c r="AK7" s="208" t="s">
        <v>18</v>
      </c>
      <c r="AL7" s="196" t="s">
        <v>16</v>
      </c>
      <c r="AM7" s="197"/>
      <c r="AN7" s="197"/>
      <c r="AO7" s="197"/>
      <c r="AP7" s="197"/>
      <c r="AQ7" s="198"/>
      <c r="AR7" s="196" t="s">
        <v>16</v>
      </c>
      <c r="AS7" s="197"/>
      <c r="AT7" s="197"/>
      <c r="AU7" s="197"/>
      <c r="AV7" s="198"/>
      <c r="AW7" s="196" t="s">
        <v>16</v>
      </c>
      <c r="AX7" s="197"/>
      <c r="AY7" s="197"/>
      <c r="AZ7" s="197"/>
      <c r="BA7" s="198"/>
      <c r="BB7" s="1"/>
      <c r="BC7" s="1"/>
      <c r="BD7" s="1"/>
    </row>
    <row r="8" spans="1:60">
      <c r="A8" s="1"/>
      <c r="B8" s="1"/>
      <c r="C8" s="1"/>
      <c r="D8" s="5"/>
      <c r="E8" s="15"/>
      <c r="F8" s="194"/>
      <c r="G8" s="131" t="s">
        <v>25</v>
      </c>
      <c r="H8" s="196" t="s">
        <v>17</v>
      </c>
      <c r="I8" s="197"/>
      <c r="J8" s="197"/>
      <c r="K8" s="197"/>
      <c r="L8" s="198"/>
      <c r="M8" s="199" t="s">
        <v>26</v>
      </c>
      <c r="N8" s="200"/>
      <c r="O8" s="200"/>
      <c r="P8" s="200"/>
      <c r="Q8" s="201"/>
      <c r="R8" s="199" t="s">
        <v>28</v>
      </c>
      <c r="S8" s="200"/>
      <c r="T8" s="200"/>
      <c r="U8" s="201"/>
      <c r="V8" s="202" t="s">
        <v>27</v>
      </c>
      <c r="W8" s="190" t="s">
        <v>55</v>
      </c>
      <c r="X8" s="199" t="s">
        <v>31</v>
      </c>
      <c r="Y8" s="200"/>
      <c r="Z8" s="200"/>
      <c r="AA8" s="200"/>
      <c r="AB8" s="201"/>
      <c r="AC8" s="199" t="s">
        <v>32</v>
      </c>
      <c r="AD8" s="200"/>
      <c r="AE8" s="200"/>
      <c r="AF8" s="200"/>
      <c r="AG8" s="200"/>
      <c r="AH8" s="201"/>
      <c r="AI8" s="1"/>
      <c r="AJ8" s="1"/>
      <c r="AK8" s="192"/>
      <c r="AL8" s="131" t="s">
        <v>25</v>
      </c>
      <c r="AM8" s="196" t="s">
        <v>17</v>
      </c>
      <c r="AN8" s="197"/>
      <c r="AO8" s="197"/>
      <c r="AP8" s="197"/>
      <c r="AQ8" s="198"/>
      <c r="AR8" s="199" t="s">
        <v>63</v>
      </c>
      <c r="AS8" s="200"/>
      <c r="AT8" s="200"/>
      <c r="AU8" s="200"/>
      <c r="AV8" s="201"/>
      <c r="AW8" s="199" t="s">
        <v>64</v>
      </c>
      <c r="AX8" s="200"/>
      <c r="AY8" s="200"/>
      <c r="AZ8" s="200"/>
      <c r="BA8" s="201"/>
      <c r="BB8" s="1"/>
      <c r="BC8" s="1"/>
      <c r="BD8" s="1"/>
    </row>
    <row r="9" spans="1:60" ht="38.25">
      <c r="A9" s="1"/>
      <c r="B9" s="1"/>
      <c r="C9" s="1"/>
      <c r="D9" s="5"/>
      <c r="E9" s="1"/>
      <c r="F9" s="192" t="s">
        <v>61</v>
      </c>
      <c r="G9" s="68" t="s">
        <v>62</v>
      </c>
      <c r="H9" s="46" t="s">
        <v>14</v>
      </c>
      <c r="I9" s="46" t="s">
        <v>13</v>
      </c>
      <c r="J9" s="46" t="s">
        <v>12</v>
      </c>
      <c r="K9" s="46" t="s">
        <v>15</v>
      </c>
      <c r="L9" s="68" t="s">
        <v>60</v>
      </c>
      <c r="M9" s="47" t="s">
        <v>14</v>
      </c>
      <c r="N9" s="47" t="s">
        <v>13</v>
      </c>
      <c r="O9" s="47" t="s">
        <v>12</v>
      </c>
      <c r="P9" s="47" t="s">
        <v>15</v>
      </c>
      <c r="Q9" s="66" t="s">
        <v>30</v>
      </c>
      <c r="R9" s="47" t="s">
        <v>14</v>
      </c>
      <c r="S9" s="47" t="s">
        <v>13</v>
      </c>
      <c r="T9" s="47" t="s">
        <v>12</v>
      </c>
      <c r="U9" s="47" t="s">
        <v>15</v>
      </c>
      <c r="V9" s="203"/>
      <c r="W9" s="191"/>
      <c r="X9" s="47" t="s">
        <v>14</v>
      </c>
      <c r="Y9" s="47" t="s">
        <v>13</v>
      </c>
      <c r="Z9" s="47" t="s">
        <v>12</v>
      </c>
      <c r="AA9" s="47" t="s">
        <v>15</v>
      </c>
      <c r="AB9" s="66" t="s">
        <v>56</v>
      </c>
      <c r="AC9" s="47" t="s">
        <v>14</v>
      </c>
      <c r="AD9" s="47" t="s">
        <v>13</v>
      </c>
      <c r="AE9" s="47" t="s">
        <v>12</v>
      </c>
      <c r="AF9" s="47" t="s">
        <v>15</v>
      </c>
      <c r="AG9" s="66" t="s">
        <v>57</v>
      </c>
      <c r="AH9" s="67" t="s">
        <v>55</v>
      </c>
      <c r="AI9" s="1"/>
      <c r="AJ9" s="1"/>
      <c r="AK9" s="193"/>
      <c r="AL9" s="68" t="s">
        <v>62</v>
      </c>
      <c r="AM9" s="46" t="s">
        <v>14</v>
      </c>
      <c r="AN9" s="46" t="s">
        <v>13</v>
      </c>
      <c r="AO9" s="46" t="s">
        <v>12</v>
      </c>
      <c r="AP9" s="46" t="s">
        <v>15</v>
      </c>
      <c r="AQ9" s="68" t="s">
        <v>60</v>
      </c>
      <c r="AR9" s="47" t="s">
        <v>14</v>
      </c>
      <c r="AS9" s="47" t="s">
        <v>13</v>
      </c>
      <c r="AT9" s="47" t="s">
        <v>12</v>
      </c>
      <c r="AU9" s="47" t="s">
        <v>15</v>
      </c>
      <c r="AV9" s="66" t="s">
        <v>65</v>
      </c>
      <c r="AW9" s="47" t="s">
        <v>14</v>
      </c>
      <c r="AX9" s="47" t="s">
        <v>13</v>
      </c>
      <c r="AY9" s="47" t="s">
        <v>12</v>
      </c>
      <c r="AZ9" s="47" t="s">
        <v>15</v>
      </c>
      <c r="BA9" s="67" t="s">
        <v>66</v>
      </c>
      <c r="BB9" s="1"/>
      <c r="BC9" s="1"/>
      <c r="BD9" s="1"/>
    </row>
    <row r="10" spans="1:60" ht="54" customHeight="1">
      <c r="A10" s="35" t="s">
        <v>78</v>
      </c>
      <c r="B10" s="17" t="s">
        <v>95</v>
      </c>
      <c r="C10" s="17" t="s">
        <v>93</v>
      </c>
      <c r="D10" s="17" t="s">
        <v>92</v>
      </c>
      <c r="E10" s="35" t="s">
        <v>69</v>
      </c>
      <c r="F10" s="193"/>
      <c r="G10" s="75">
        <f t="shared" ref="G10:AH10" si="0">SUBTOTAL(9,G11:G37)</f>
        <v>23695656.66</v>
      </c>
      <c r="H10" s="76">
        <f t="shared" si="0"/>
        <v>15400526.92</v>
      </c>
      <c r="I10" s="76">
        <f t="shared" si="0"/>
        <v>5246681.3899999997</v>
      </c>
      <c r="J10" s="76">
        <f t="shared" si="0"/>
        <v>2053381</v>
      </c>
      <c r="K10" s="76">
        <f t="shared" si="0"/>
        <v>1631338.43</v>
      </c>
      <c r="L10" s="75">
        <f t="shared" si="0"/>
        <v>24331927.739999998</v>
      </c>
      <c r="M10" s="76">
        <f t="shared" si="0"/>
        <v>8863952.5399999991</v>
      </c>
      <c r="N10" s="76">
        <f t="shared" si="0"/>
        <v>2848351.06</v>
      </c>
      <c r="O10" s="76">
        <f t="shared" si="0"/>
        <v>872797</v>
      </c>
      <c r="P10" s="76">
        <f t="shared" si="0"/>
        <v>864237.58</v>
      </c>
      <c r="Q10" s="77">
        <f t="shared" si="0"/>
        <v>13449338.18</v>
      </c>
      <c r="R10" s="76">
        <f t="shared" si="0"/>
        <v>6800651.9849520018</v>
      </c>
      <c r="S10" s="76">
        <f t="shared" si="0"/>
        <v>3309695.8553999993</v>
      </c>
      <c r="T10" s="76">
        <f t="shared" si="0"/>
        <v>1617400.08</v>
      </c>
      <c r="U10" s="76">
        <f t="shared" si="0"/>
        <v>989560.09649999999</v>
      </c>
      <c r="V10" s="76">
        <f t="shared" si="0"/>
        <v>12717308.016852003</v>
      </c>
      <c r="W10" s="76">
        <f t="shared" si="0"/>
        <v>26166646.196852002</v>
      </c>
      <c r="X10" s="76">
        <f t="shared" si="0"/>
        <v>8952592.0653999988</v>
      </c>
      <c r="Y10" s="76">
        <f t="shared" si="0"/>
        <v>3503471.8037999999</v>
      </c>
      <c r="Z10" s="76">
        <f t="shared" si="0"/>
        <v>1195731.8900000001</v>
      </c>
      <c r="AA10" s="76">
        <f t="shared" si="0"/>
        <v>914795.4784299999</v>
      </c>
      <c r="AB10" s="76">
        <f t="shared" si="0"/>
        <v>14566591.237629998</v>
      </c>
      <c r="AC10" s="76">
        <f t="shared" si="0"/>
        <v>6967356.3670591302</v>
      </c>
      <c r="AD10" s="76">
        <f t="shared" si="0"/>
        <v>4325216.454104092</v>
      </c>
      <c r="AE10" s="76">
        <f t="shared" si="0"/>
        <v>1617400.08</v>
      </c>
      <c r="AF10" s="76">
        <f t="shared" si="0"/>
        <v>1047548.3181549</v>
      </c>
      <c r="AG10" s="76">
        <f t="shared" si="0"/>
        <v>13957521.219318122</v>
      </c>
      <c r="AH10" s="75">
        <f t="shared" si="0"/>
        <v>28524112.45694812</v>
      </c>
      <c r="AI10" s="1"/>
      <c r="AJ10" s="1"/>
      <c r="AK10" s="131" t="s">
        <v>61</v>
      </c>
      <c r="AL10" s="75">
        <f t="shared" ref="AL10:AV10" si="1">SUBTOTAL(9,AL11:AL37)</f>
        <v>23695656.66</v>
      </c>
      <c r="AM10" s="76">
        <f t="shared" si="1"/>
        <v>15400526.92</v>
      </c>
      <c r="AN10" s="76">
        <f t="shared" si="1"/>
        <v>5246681.3899999997</v>
      </c>
      <c r="AO10" s="76">
        <f t="shared" si="1"/>
        <v>2053381</v>
      </c>
      <c r="AP10" s="76">
        <f t="shared" si="1"/>
        <v>1631338.43</v>
      </c>
      <c r="AQ10" s="75">
        <f t="shared" si="1"/>
        <v>24331927.739999998</v>
      </c>
      <c r="AR10" s="76">
        <f t="shared" si="1"/>
        <v>15664604.524952002</v>
      </c>
      <c r="AS10" s="76">
        <f t="shared" si="1"/>
        <v>5850049.7498499993</v>
      </c>
      <c r="AT10" s="76">
        <f t="shared" si="1"/>
        <v>2490197.08</v>
      </c>
      <c r="AU10" s="76">
        <f t="shared" si="1"/>
        <v>1853797.6765000001</v>
      </c>
      <c r="AV10" s="76">
        <f t="shared" si="1"/>
        <v>25858649.031301998</v>
      </c>
      <c r="AW10" s="76">
        <f>SUBTOTAL(9,AW11)</f>
        <v>16132595.952459129</v>
      </c>
      <c r="AX10" s="76">
        <f>SUBTOTAL(9,AX11)</f>
        <v>7586126.5766999992</v>
      </c>
      <c r="AY10" s="76">
        <f>SUBTOTAL(9,AY11)</f>
        <v>2813131.97</v>
      </c>
      <c r="AZ10" s="76">
        <f>SUBTOTAL(9,AZ11)</f>
        <v>1958638.5365000002</v>
      </c>
      <c r="BA10" s="75">
        <f>SUBTOTAL(9,BA11)</f>
        <v>28490493.035659127</v>
      </c>
      <c r="BB10" s="137"/>
      <c r="BC10" s="137"/>
      <c r="BD10" s="1"/>
    </row>
    <row r="11" spans="1:60" s="33" customFormat="1" ht="15" customHeight="1">
      <c r="A11" s="15" t="s">
        <v>18</v>
      </c>
      <c r="B11" s="15" t="s">
        <v>79</v>
      </c>
      <c r="C11" s="107" t="s">
        <v>94</v>
      </c>
      <c r="D11" s="108"/>
      <c r="E11" s="108">
        <v>7</v>
      </c>
      <c r="F11" s="48" t="s">
        <v>19</v>
      </c>
      <c r="G11" s="73">
        <v>23695656.66</v>
      </c>
      <c r="H11" s="65">
        <v>15400526.92</v>
      </c>
      <c r="I11" s="65">
        <v>5246681.3899999997</v>
      </c>
      <c r="J11" s="65">
        <v>2053381</v>
      </c>
      <c r="K11" s="65">
        <v>1631338.43</v>
      </c>
      <c r="L11" s="69">
        <f>SUM(H11:K11)</f>
        <v>24331927.739999998</v>
      </c>
      <c r="M11" s="64">
        <v>8863952.5399999991</v>
      </c>
      <c r="N11" s="64">
        <v>2848351.06</v>
      </c>
      <c r="O11" s="64">
        <v>872797</v>
      </c>
      <c r="P11" s="64">
        <v>864237.58</v>
      </c>
      <c r="Q11" s="83">
        <f>SUM(M11:P11)</f>
        <v>13449338.18</v>
      </c>
      <c r="R11" s="65">
        <f>(H11-M11)*(R$5)*R$3</f>
        <v>6800651.9849520018</v>
      </c>
      <c r="S11" s="65">
        <f>(I11-N11)*S$5</f>
        <v>3309695.8553999993</v>
      </c>
      <c r="T11" s="65">
        <f>(J11-O11)*T$5</f>
        <v>1617400.08</v>
      </c>
      <c r="U11" s="65">
        <f>(K11-P11)*U$5</f>
        <v>989560.09649999999</v>
      </c>
      <c r="V11" s="52">
        <f>U11+T11+S11+R11</f>
        <v>12717308.016852003</v>
      </c>
      <c r="W11" s="75">
        <f>V11+Q11</f>
        <v>26166646.196852002</v>
      </c>
      <c r="X11" s="64">
        <f>M11*X$5*X$3</f>
        <v>8952592.0653999988</v>
      </c>
      <c r="Y11" s="64">
        <f>N11*Y$5</f>
        <v>3503471.8037999999</v>
      </c>
      <c r="Z11" s="64">
        <f>O11*Z$5</f>
        <v>1195731.8900000001</v>
      </c>
      <c r="AA11" s="64">
        <f>P11*AA$5</f>
        <v>914795.4784299999</v>
      </c>
      <c r="AB11" s="83">
        <f>SUM(X11:AA11)</f>
        <v>14566591.237629998</v>
      </c>
      <c r="AC11" s="64">
        <f>R11*AC$5*AC$3</f>
        <v>6967356.3670591302</v>
      </c>
      <c r="AD11" s="64">
        <f>(S11)*AD$5</f>
        <v>4325216.454104092</v>
      </c>
      <c r="AE11" s="64">
        <f>T11*AE$5</f>
        <v>1617400.08</v>
      </c>
      <c r="AF11" s="64">
        <f>U11*AF$5</f>
        <v>1047548.3181549</v>
      </c>
      <c r="AG11" s="71">
        <f>SUM(AC11:AF11)</f>
        <v>13957521.219318122</v>
      </c>
      <c r="AH11" s="75">
        <f>AG11+AB11</f>
        <v>28524112.45694812</v>
      </c>
      <c r="AI11" s="4"/>
      <c r="AJ11" s="4"/>
      <c r="AK11" s="48" t="s">
        <v>19</v>
      </c>
      <c r="AL11" s="157">
        <v>23695656.66</v>
      </c>
      <c r="AM11" s="158">
        <v>15400526.92</v>
      </c>
      <c r="AN11" s="158">
        <v>5246681.3899999997</v>
      </c>
      <c r="AO11" s="158">
        <v>2053381</v>
      </c>
      <c r="AP11" s="158">
        <v>1631338.43</v>
      </c>
      <c r="AQ11" s="75">
        <f>SUM(AM11:AP11)</f>
        <v>24331927.739999998</v>
      </c>
      <c r="AR11" s="159">
        <f>M11+R11</f>
        <v>15664604.524952002</v>
      </c>
      <c r="AS11" s="159">
        <f>AN11*AS$3</f>
        <v>5850049.7498499993</v>
      </c>
      <c r="AT11" s="159">
        <f>O11+T11</f>
        <v>2490197.08</v>
      </c>
      <c r="AU11" s="159">
        <f>P11+U11</f>
        <v>1853797.6765000001</v>
      </c>
      <c r="AV11" s="89">
        <f>SUM(AR11:AU11)</f>
        <v>25858649.031301998</v>
      </c>
      <c r="AW11" s="159">
        <f>X11+AC11+AW13</f>
        <v>16132595.952459129</v>
      </c>
      <c r="AX11" s="159">
        <f>AN11*AX$3+AX13</f>
        <v>7586126.5766999992</v>
      </c>
      <c r="AY11" s="159">
        <f>Z11+AE11+AY13</f>
        <v>2813131.97</v>
      </c>
      <c r="AZ11" s="159">
        <f>AU11+AZ13</f>
        <v>1958638.5365000002</v>
      </c>
      <c r="BA11" s="75">
        <f>SUM(AW11:AZ11)</f>
        <v>28490493.035659127</v>
      </c>
      <c r="BB11" s="138"/>
      <c r="BC11" s="138"/>
      <c r="BD11" s="5"/>
      <c r="BE11" s="5"/>
      <c r="BF11" s="5"/>
      <c r="BG11" s="5"/>
      <c r="BH11" s="5"/>
    </row>
    <row r="13" spans="1:60">
      <c r="B13" t="s">
        <v>107</v>
      </c>
      <c r="C13" s="167" t="s">
        <v>114</v>
      </c>
      <c r="D13" t="s">
        <v>105</v>
      </c>
      <c r="E13" t="s">
        <v>106</v>
      </c>
      <c r="F13" t="s">
        <v>108</v>
      </c>
      <c r="AW13" s="165">
        <v>212647.52</v>
      </c>
      <c r="AX13" s="165">
        <v>188305.8168</v>
      </c>
      <c r="AY13" s="165">
        <v>0</v>
      </c>
      <c r="AZ13" s="165">
        <v>104840.86</v>
      </c>
      <c r="BA13" s="6"/>
    </row>
    <row r="16" spans="1:60">
      <c r="AV16" s="114"/>
      <c r="AW16" s="166"/>
      <c r="AX16" s="166"/>
      <c r="AY16" s="166"/>
      <c r="AZ16" s="166"/>
      <c r="BA16" s="114"/>
    </row>
    <row r="17" spans="48:53">
      <c r="AV17" s="114"/>
      <c r="AW17" s="114"/>
      <c r="AX17" s="114"/>
      <c r="AY17" s="114"/>
      <c r="AZ17" s="114"/>
      <c r="BA17" s="114"/>
    </row>
    <row r="18" spans="48:53">
      <c r="AV18" s="114"/>
      <c r="AW18" s="114"/>
      <c r="AX18" s="114"/>
      <c r="AY18" s="114"/>
      <c r="AZ18" s="114"/>
      <c r="BA18" s="114"/>
    </row>
    <row r="19" spans="48:53">
      <c r="AV19" s="114"/>
      <c r="AW19" s="114"/>
      <c r="AX19" s="114"/>
      <c r="AY19" s="114"/>
      <c r="AZ19" s="114"/>
      <c r="BA19" s="114"/>
    </row>
  </sheetData>
  <mergeCells count="21">
    <mergeCell ref="AM8:AQ8"/>
    <mergeCell ref="AR8:AV8"/>
    <mergeCell ref="AW8:BA8"/>
    <mergeCell ref="F9:F10"/>
    <mergeCell ref="AK7:AK9"/>
    <mergeCell ref="AL7:AQ7"/>
    <mergeCell ref="AR7:AV7"/>
    <mergeCell ref="AW7:BA7"/>
    <mergeCell ref="H8:L8"/>
    <mergeCell ref="M8:Q8"/>
    <mergeCell ref="R8:U8"/>
    <mergeCell ref="V8:V9"/>
    <mergeCell ref="W8:W9"/>
    <mergeCell ref="X8:AB8"/>
    <mergeCell ref="F7:F8"/>
    <mergeCell ref="G7:L7"/>
    <mergeCell ref="M7:Q7"/>
    <mergeCell ref="R7:V7"/>
    <mergeCell ref="X7:AB7"/>
    <mergeCell ref="AC7:AH7"/>
    <mergeCell ref="AC8:AH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5"/>
  <sheetViews>
    <sheetView topLeftCell="J7" zoomScale="80" zoomScaleNormal="80" workbookViewId="0">
      <selection activeCell="F14" sqref="F13:X14"/>
    </sheetView>
  </sheetViews>
  <sheetFormatPr defaultRowHeight="15"/>
  <cols>
    <col min="1" max="1" width="56.5703125" customWidth="1"/>
    <col min="2" max="2" width="23.28515625" customWidth="1"/>
    <col min="3" max="3" width="21.140625" customWidth="1"/>
    <col min="4" max="4" width="17" customWidth="1"/>
    <col min="5" max="5" width="15.42578125" customWidth="1"/>
    <col min="6" max="6" width="56.140625" customWidth="1"/>
    <col min="7" max="7" width="18" customWidth="1"/>
    <col min="8" max="8" width="15.5703125" customWidth="1"/>
    <col min="9" max="9" width="14.42578125" customWidth="1"/>
    <col min="10" max="10" width="11.85546875" customWidth="1"/>
    <col min="11" max="11" width="12.7109375" customWidth="1"/>
    <col min="12" max="12" width="13" customWidth="1"/>
    <col min="13" max="13" width="15.42578125" customWidth="1"/>
    <col min="14" max="14" width="15" customWidth="1"/>
    <col min="15" max="15" width="12.85546875" customWidth="1"/>
    <col min="16" max="16" width="19.5703125" customWidth="1"/>
    <col min="17" max="17" width="12.140625" customWidth="1"/>
    <col min="18" max="18" width="14.5703125" customWidth="1"/>
    <col min="19" max="19" width="15.5703125" customWidth="1"/>
    <col min="20" max="20" width="15" customWidth="1"/>
    <col min="21" max="21" width="19.140625" customWidth="1"/>
    <col min="22" max="22" width="14.140625" customWidth="1"/>
    <col min="23" max="23" width="12.28515625" customWidth="1"/>
    <col min="24" max="24" width="15.5703125" customWidth="1"/>
    <col min="25" max="25" width="14" customWidth="1"/>
    <col min="26" max="26" width="15.28515625" customWidth="1"/>
    <col min="27" max="27" width="14.85546875" customWidth="1"/>
    <col min="28" max="28" width="12.28515625" customWidth="1"/>
    <col min="29" max="29" width="16" customWidth="1"/>
    <col min="30" max="30" width="19.5703125" customWidth="1"/>
    <col min="31" max="31" width="17.85546875" customWidth="1"/>
    <col min="32" max="32" width="15.85546875" customWidth="1"/>
    <col min="33" max="33" width="12.85546875" customWidth="1"/>
    <col min="34" max="34" width="12.7109375" customWidth="1"/>
    <col min="37" max="37" width="31.5703125" customWidth="1"/>
    <col min="38" max="38" width="17.140625" customWidth="1"/>
    <col min="39" max="39" width="19.28515625" customWidth="1"/>
    <col min="40" max="40" width="14.140625" customWidth="1"/>
    <col min="43" max="43" width="12.28515625" customWidth="1"/>
    <col min="44" max="44" width="11" customWidth="1"/>
    <col min="45" max="45" width="15.28515625" customWidth="1"/>
    <col min="46" max="46" width="11.42578125" customWidth="1"/>
    <col min="47" max="47" width="13.42578125" customWidth="1"/>
    <col min="48" max="48" width="11.42578125" customWidth="1"/>
    <col min="49" max="49" width="9.7109375" customWidth="1"/>
    <col min="50" max="50" width="10.28515625" customWidth="1"/>
    <col min="51" max="51" width="10.7109375" customWidth="1"/>
    <col min="52" max="52" width="11.28515625" customWidth="1"/>
    <col min="53" max="53" width="12.140625" customWidth="1"/>
  </cols>
  <sheetData>
    <row r="1" spans="1:55" ht="87" customHeight="1">
      <c r="A1" s="1"/>
      <c r="B1" s="1"/>
      <c r="C1" s="1"/>
      <c r="D1" s="5"/>
      <c r="E1" s="1"/>
      <c r="F1" s="1"/>
      <c r="G1" s="1"/>
      <c r="H1" s="1"/>
      <c r="I1" s="1"/>
      <c r="J1" s="1"/>
      <c r="K1" s="1"/>
      <c r="L1" s="5"/>
      <c r="M1" s="2"/>
      <c r="N1" s="1"/>
      <c r="O1" s="1"/>
      <c r="P1" s="17" t="s">
        <v>41</v>
      </c>
      <c r="Q1" s="137"/>
      <c r="R1" s="17" t="s">
        <v>29</v>
      </c>
      <c r="S1" s="17" t="s">
        <v>33</v>
      </c>
      <c r="T1" s="17" t="s">
        <v>34</v>
      </c>
      <c r="U1" s="17" t="s">
        <v>41</v>
      </c>
      <c r="V1" s="1"/>
      <c r="W1" s="1"/>
      <c r="X1" s="17" t="s">
        <v>29</v>
      </c>
      <c r="Y1" s="17" t="s">
        <v>33</v>
      </c>
      <c r="Z1" s="17" t="s">
        <v>34</v>
      </c>
      <c r="AA1" s="17" t="s">
        <v>35</v>
      </c>
      <c r="AB1" s="137"/>
      <c r="AC1" s="17" t="s">
        <v>29</v>
      </c>
      <c r="AD1" s="150" t="s">
        <v>37</v>
      </c>
      <c r="AE1" s="17" t="s">
        <v>58</v>
      </c>
      <c r="AF1" s="17" t="s">
        <v>35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5" ht="54" customHeight="1">
      <c r="A2" s="1"/>
      <c r="B2" s="1"/>
      <c r="C2" s="1"/>
      <c r="D2" s="5"/>
      <c r="E2" s="1" t="s">
        <v>50</v>
      </c>
      <c r="F2" s="1"/>
      <c r="G2" s="1"/>
      <c r="H2" s="1"/>
      <c r="I2" s="1"/>
      <c r="J2" s="1"/>
      <c r="K2" s="1"/>
      <c r="L2" s="5"/>
      <c r="M2" s="2"/>
      <c r="N2" s="1"/>
      <c r="O2" s="1"/>
      <c r="P2" s="17" t="s">
        <v>83</v>
      </c>
      <c r="Q2" s="1"/>
      <c r="R2" s="17" t="s">
        <v>36</v>
      </c>
      <c r="S2" s="17" t="s">
        <v>36</v>
      </c>
      <c r="T2" s="17" t="s">
        <v>36</v>
      </c>
      <c r="U2" s="17" t="s">
        <v>83</v>
      </c>
      <c r="V2" s="1"/>
      <c r="W2" s="1"/>
      <c r="X2" s="17" t="s">
        <v>36</v>
      </c>
      <c r="Y2" s="17" t="s">
        <v>36</v>
      </c>
      <c r="Z2" s="17" t="s">
        <v>36</v>
      </c>
      <c r="AA2" s="17" t="s">
        <v>36</v>
      </c>
      <c r="AB2" s="1"/>
      <c r="AC2" s="17" t="s">
        <v>36</v>
      </c>
      <c r="AD2" s="17" t="s">
        <v>36</v>
      </c>
      <c r="AE2" s="17" t="s">
        <v>36</v>
      </c>
      <c r="AF2" s="17" t="s">
        <v>36</v>
      </c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03" t="s">
        <v>103</v>
      </c>
      <c r="AT2" s="16" t="s">
        <v>102</v>
      </c>
      <c r="AU2" s="15" t="s">
        <v>98</v>
      </c>
      <c r="AV2" s="15"/>
      <c r="AW2" s="103" t="s">
        <v>99</v>
      </c>
      <c r="AX2" s="94" t="s">
        <v>100</v>
      </c>
      <c r="AY2" s="16" t="s">
        <v>101</v>
      </c>
      <c r="AZ2" s="1"/>
      <c r="BA2" s="1"/>
    </row>
    <row r="3" spans="1:55">
      <c r="A3" s="1"/>
      <c r="B3" s="1"/>
      <c r="C3" s="1"/>
      <c r="D3" s="5"/>
      <c r="E3" s="53"/>
      <c r="F3" s="1" t="s">
        <v>51</v>
      </c>
      <c r="G3" s="1"/>
      <c r="H3" s="1"/>
      <c r="I3" s="42"/>
      <c r="J3" s="1" t="s">
        <v>54</v>
      </c>
      <c r="K3" s="1"/>
      <c r="L3" s="5"/>
      <c r="M3" s="2"/>
      <c r="N3" s="2"/>
      <c r="O3" s="1"/>
      <c r="P3" s="41">
        <v>1.2649999999999999</v>
      </c>
      <c r="Q3" s="1"/>
      <c r="R3" s="40">
        <v>1.02</v>
      </c>
      <c r="S3" s="42"/>
      <c r="T3" s="41">
        <v>1.47</v>
      </c>
      <c r="U3" s="41">
        <v>1.2649999999999999</v>
      </c>
      <c r="V3" s="1"/>
      <c r="W3" s="1"/>
      <c r="X3" s="40">
        <v>1</v>
      </c>
      <c r="Y3" s="42">
        <v>1</v>
      </c>
      <c r="Z3" s="41">
        <v>1</v>
      </c>
      <c r="AA3" s="42">
        <v>1</v>
      </c>
      <c r="AB3" s="42"/>
      <c r="AC3" s="40">
        <v>1</v>
      </c>
      <c r="AD3" s="19">
        <v>1</v>
      </c>
      <c r="AE3" s="41">
        <v>1</v>
      </c>
      <c r="AF3" s="41">
        <v>1</v>
      </c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5"/>
      <c r="AT3" s="15"/>
      <c r="AU3" s="15"/>
      <c r="AV3" s="15"/>
      <c r="AW3" s="15"/>
      <c r="AX3" s="15"/>
      <c r="AY3" s="1"/>
      <c r="AZ3" s="1"/>
      <c r="BA3" s="1"/>
    </row>
    <row r="4" spans="1:55">
      <c r="A4" s="1"/>
      <c r="B4" s="1"/>
      <c r="C4" s="1"/>
      <c r="D4" s="5"/>
      <c r="E4" s="33"/>
      <c r="F4" s="1" t="s">
        <v>52</v>
      </c>
      <c r="G4" s="1"/>
      <c r="H4" s="1"/>
      <c r="I4" s="1"/>
      <c r="J4" s="1"/>
      <c r="K4" s="1"/>
      <c r="L4" s="5"/>
      <c r="M4" s="2"/>
      <c r="N4" s="2"/>
      <c r="O4" s="1"/>
      <c r="P4" s="15" t="s">
        <v>40</v>
      </c>
      <c r="Q4" s="1"/>
      <c r="R4" s="15" t="s">
        <v>59</v>
      </c>
      <c r="S4" s="15" t="s">
        <v>40</v>
      </c>
      <c r="T4" s="15" t="s">
        <v>40</v>
      </c>
      <c r="U4" s="15" t="s">
        <v>40</v>
      </c>
      <c r="V4" s="1"/>
      <c r="W4" s="1"/>
      <c r="X4" s="15" t="s">
        <v>59</v>
      </c>
      <c r="Y4" s="15" t="s">
        <v>40</v>
      </c>
      <c r="Z4" s="15" t="s">
        <v>59</v>
      </c>
      <c r="AA4" s="15" t="s">
        <v>40</v>
      </c>
      <c r="AB4" s="1"/>
      <c r="AC4" s="15" t="s">
        <v>59</v>
      </c>
      <c r="AD4" s="19" t="s">
        <v>59</v>
      </c>
      <c r="AE4" s="15" t="s">
        <v>40</v>
      </c>
      <c r="AF4" s="15" t="s">
        <v>42</v>
      </c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5">
        <v>1.115</v>
      </c>
      <c r="AT4" s="15">
        <v>1.1850000000000001</v>
      </c>
      <c r="AU4" s="15">
        <v>1.1000000000000001</v>
      </c>
      <c r="AV4" s="15"/>
      <c r="AW4" s="15">
        <v>1.02</v>
      </c>
      <c r="AX4" s="15">
        <v>1.38</v>
      </c>
      <c r="AY4" s="1">
        <v>1.37</v>
      </c>
      <c r="AZ4" s="1"/>
      <c r="BA4" s="1"/>
    </row>
    <row r="5" spans="1:55">
      <c r="A5" s="1"/>
      <c r="B5" s="1"/>
      <c r="C5" s="1"/>
      <c r="D5" s="5"/>
      <c r="E5" s="54"/>
      <c r="F5" s="1" t="s">
        <v>53</v>
      </c>
      <c r="G5" s="1"/>
      <c r="H5" s="1"/>
      <c r="I5" s="1"/>
      <c r="J5" s="1"/>
      <c r="K5" s="1"/>
      <c r="L5" s="5"/>
      <c r="M5" s="2"/>
      <c r="N5" s="2"/>
      <c r="O5" s="1"/>
      <c r="P5" s="41">
        <v>1.29</v>
      </c>
      <c r="Q5" s="1"/>
      <c r="R5" s="41">
        <v>1.02</v>
      </c>
      <c r="S5" s="43">
        <v>1.38</v>
      </c>
      <c r="T5" s="41">
        <v>1.37</v>
      </c>
      <c r="U5" s="41">
        <v>1.29</v>
      </c>
      <c r="V5" s="1"/>
      <c r="W5" s="1"/>
      <c r="X5" s="41">
        <v>1.01</v>
      </c>
      <c r="Y5" s="43">
        <v>1.23</v>
      </c>
      <c r="Z5" s="41">
        <v>1.37</v>
      </c>
      <c r="AA5" s="41">
        <v>1.0585</v>
      </c>
      <c r="AB5" s="42"/>
      <c r="AC5" s="41">
        <v>1.024513</v>
      </c>
      <c r="AD5" s="19">
        <v>1.306832</v>
      </c>
      <c r="AE5" s="41">
        <v>1</v>
      </c>
      <c r="AF5" s="41">
        <v>1.0586</v>
      </c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5">
      <c r="A6" s="1"/>
      <c r="B6" s="1"/>
      <c r="C6" s="1"/>
      <c r="D6" s="5"/>
      <c r="E6" s="1"/>
      <c r="F6" s="1"/>
      <c r="G6" s="1"/>
      <c r="H6" s="1"/>
      <c r="I6" s="1"/>
      <c r="J6" s="1"/>
      <c r="K6" s="1"/>
      <c r="L6" s="5"/>
      <c r="M6" s="2"/>
      <c r="N6" s="2"/>
      <c r="O6" s="1"/>
      <c r="P6" s="1"/>
      <c r="Q6" s="1"/>
      <c r="R6" s="1"/>
      <c r="S6" s="2"/>
      <c r="T6" s="1"/>
      <c r="U6" s="15"/>
      <c r="V6" s="1"/>
      <c r="W6" s="1"/>
      <c r="X6" s="5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5">
      <c r="A7" s="137"/>
      <c r="B7" s="137"/>
      <c r="C7" s="137"/>
      <c r="D7" s="138"/>
      <c r="E7" s="137"/>
      <c r="F7" s="194" t="s">
        <v>18</v>
      </c>
      <c r="G7" s="209" t="s">
        <v>16</v>
      </c>
      <c r="H7" s="210"/>
      <c r="I7" s="210"/>
      <c r="J7" s="210"/>
      <c r="K7" s="210"/>
      <c r="L7" s="211"/>
      <c r="M7" s="209" t="s">
        <v>16</v>
      </c>
      <c r="N7" s="210"/>
      <c r="O7" s="210"/>
      <c r="P7" s="210"/>
      <c r="Q7" s="211"/>
      <c r="R7" s="209" t="s">
        <v>16</v>
      </c>
      <c r="S7" s="210"/>
      <c r="T7" s="210"/>
      <c r="U7" s="210"/>
      <c r="V7" s="210"/>
      <c r="W7" s="139"/>
      <c r="X7" s="209" t="s">
        <v>16</v>
      </c>
      <c r="Y7" s="210"/>
      <c r="Z7" s="210"/>
      <c r="AA7" s="210"/>
      <c r="AB7" s="211"/>
      <c r="AC7" s="209" t="s">
        <v>16</v>
      </c>
      <c r="AD7" s="210"/>
      <c r="AE7" s="210"/>
      <c r="AF7" s="210"/>
      <c r="AG7" s="210"/>
      <c r="AH7" s="211"/>
      <c r="AI7" s="137"/>
      <c r="AJ7" s="137"/>
      <c r="AK7" s="208" t="s">
        <v>18</v>
      </c>
      <c r="AL7" s="209" t="s">
        <v>16</v>
      </c>
      <c r="AM7" s="210"/>
      <c r="AN7" s="210"/>
      <c r="AO7" s="210"/>
      <c r="AP7" s="210"/>
      <c r="AQ7" s="211"/>
      <c r="AR7" s="209" t="s">
        <v>16</v>
      </c>
      <c r="AS7" s="210"/>
      <c r="AT7" s="210"/>
      <c r="AU7" s="210"/>
      <c r="AV7" s="211"/>
      <c r="AW7" s="209" t="s">
        <v>16</v>
      </c>
      <c r="AX7" s="210"/>
      <c r="AY7" s="210"/>
      <c r="AZ7" s="210"/>
      <c r="BA7" s="211"/>
      <c r="BB7" s="93"/>
      <c r="BC7" s="93"/>
    </row>
    <row r="8" spans="1:55">
      <c r="A8" s="137"/>
      <c r="B8" s="137"/>
      <c r="C8" s="137"/>
      <c r="D8" s="138"/>
      <c r="E8" s="35"/>
      <c r="F8" s="194"/>
      <c r="G8" s="45" t="s">
        <v>25</v>
      </c>
      <c r="H8" s="209" t="s">
        <v>17</v>
      </c>
      <c r="I8" s="210"/>
      <c r="J8" s="210"/>
      <c r="K8" s="210"/>
      <c r="L8" s="211"/>
      <c r="M8" s="212" t="s">
        <v>26</v>
      </c>
      <c r="N8" s="213"/>
      <c r="O8" s="213"/>
      <c r="P8" s="213"/>
      <c r="Q8" s="214"/>
      <c r="R8" s="212" t="s">
        <v>28</v>
      </c>
      <c r="S8" s="213"/>
      <c r="T8" s="213"/>
      <c r="U8" s="214"/>
      <c r="V8" s="202" t="s">
        <v>27</v>
      </c>
      <c r="W8" s="190" t="s">
        <v>55</v>
      </c>
      <c r="X8" s="212" t="s">
        <v>31</v>
      </c>
      <c r="Y8" s="213"/>
      <c r="Z8" s="213"/>
      <c r="AA8" s="213"/>
      <c r="AB8" s="214"/>
      <c r="AC8" s="212" t="s">
        <v>32</v>
      </c>
      <c r="AD8" s="213"/>
      <c r="AE8" s="213"/>
      <c r="AF8" s="213"/>
      <c r="AG8" s="213"/>
      <c r="AH8" s="214"/>
      <c r="AI8" s="137"/>
      <c r="AJ8" s="137"/>
      <c r="AK8" s="192"/>
      <c r="AL8" s="45" t="s">
        <v>25</v>
      </c>
      <c r="AM8" s="209" t="s">
        <v>17</v>
      </c>
      <c r="AN8" s="210"/>
      <c r="AO8" s="210"/>
      <c r="AP8" s="210"/>
      <c r="AQ8" s="211"/>
      <c r="AR8" s="212" t="s">
        <v>63</v>
      </c>
      <c r="AS8" s="213"/>
      <c r="AT8" s="213"/>
      <c r="AU8" s="213"/>
      <c r="AV8" s="214"/>
      <c r="AW8" s="212" t="s">
        <v>64</v>
      </c>
      <c r="AX8" s="213"/>
      <c r="AY8" s="213"/>
      <c r="AZ8" s="213"/>
      <c r="BA8" s="214"/>
      <c r="BB8" s="93"/>
      <c r="BC8" s="93"/>
    </row>
    <row r="9" spans="1:55" ht="38.25">
      <c r="A9" s="137"/>
      <c r="B9" s="137"/>
      <c r="C9" s="137"/>
      <c r="D9" s="138"/>
      <c r="E9" s="137"/>
      <c r="F9" s="192" t="s">
        <v>61</v>
      </c>
      <c r="G9" s="68" t="s">
        <v>62</v>
      </c>
      <c r="H9" s="46" t="s">
        <v>14</v>
      </c>
      <c r="I9" s="46" t="s">
        <v>13</v>
      </c>
      <c r="J9" s="46" t="s">
        <v>12</v>
      </c>
      <c r="K9" s="46" t="s">
        <v>15</v>
      </c>
      <c r="L9" s="68" t="s">
        <v>60</v>
      </c>
      <c r="M9" s="47" t="s">
        <v>14</v>
      </c>
      <c r="N9" s="47" t="s">
        <v>13</v>
      </c>
      <c r="O9" s="47" t="s">
        <v>12</v>
      </c>
      <c r="P9" s="47" t="s">
        <v>15</v>
      </c>
      <c r="Q9" s="66" t="s">
        <v>30</v>
      </c>
      <c r="R9" s="47" t="s">
        <v>14</v>
      </c>
      <c r="S9" s="47" t="s">
        <v>13</v>
      </c>
      <c r="T9" s="47" t="s">
        <v>12</v>
      </c>
      <c r="U9" s="47" t="s">
        <v>15</v>
      </c>
      <c r="V9" s="203"/>
      <c r="W9" s="191"/>
      <c r="X9" s="47" t="s">
        <v>14</v>
      </c>
      <c r="Y9" s="47" t="s">
        <v>13</v>
      </c>
      <c r="Z9" s="47" t="s">
        <v>12</v>
      </c>
      <c r="AA9" s="47" t="s">
        <v>15</v>
      </c>
      <c r="AB9" s="66" t="s">
        <v>56</v>
      </c>
      <c r="AC9" s="47" t="s">
        <v>14</v>
      </c>
      <c r="AD9" s="47" t="s">
        <v>13</v>
      </c>
      <c r="AE9" s="47" t="s">
        <v>12</v>
      </c>
      <c r="AF9" s="47" t="s">
        <v>15</v>
      </c>
      <c r="AG9" s="66" t="s">
        <v>57</v>
      </c>
      <c r="AH9" s="67" t="s">
        <v>55</v>
      </c>
      <c r="AI9" s="137"/>
      <c r="AJ9" s="137"/>
      <c r="AK9" s="193"/>
      <c r="AL9" s="68" t="s">
        <v>62</v>
      </c>
      <c r="AM9" s="46" t="s">
        <v>14</v>
      </c>
      <c r="AN9" s="46" t="s">
        <v>13</v>
      </c>
      <c r="AO9" s="46" t="s">
        <v>12</v>
      </c>
      <c r="AP9" s="46" t="s">
        <v>15</v>
      </c>
      <c r="AQ9" s="68" t="s">
        <v>60</v>
      </c>
      <c r="AR9" s="47" t="s">
        <v>14</v>
      </c>
      <c r="AS9" s="47" t="s">
        <v>13</v>
      </c>
      <c r="AT9" s="47" t="s">
        <v>12</v>
      </c>
      <c r="AU9" s="47" t="s">
        <v>15</v>
      </c>
      <c r="AV9" s="66" t="s">
        <v>65</v>
      </c>
      <c r="AW9" s="47" t="s">
        <v>14</v>
      </c>
      <c r="AX9" s="47" t="s">
        <v>13</v>
      </c>
      <c r="AY9" s="47" t="s">
        <v>12</v>
      </c>
      <c r="AZ9" s="47" t="s">
        <v>15</v>
      </c>
      <c r="BA9" s="67" t="s">
        <v>66</v>
      </c>
      <c r="BB9" s="93"/>
      <c r="BC9" s="93"/>
    </row>
    <row r="10" spans="1:55" ht="45">
      <c r="A10" s="35" t="s">
        <v>78</v>
      </c>
      <c r="B10" s="17" t="s">
        <v>95</v>
      </c>
      <c r="C10" s="17" t="s">
        <v>93</v>
      </c>
      <c r="D10" s="17" t="s">
        <v>92</v>
      </c>
      <c r="E10" s="35" t="s">
        <v>69</v>
      </c>
      <c r="F10" s="193"/>
      <c r="G10" s="75">
        <f t="shared" ref="G10:P10" si="0">G11</f>
        <v>114951.23</v>
      </c>
      <c r="H10" s="75">
        <f t="shared" si="0"/>
        <v>21504.53</v>
      </c>
      <c r="I10" s="75">
        <f t="shared" si="0"/>
        <v>35843.850000000006</v>
      </c>
      <c r="J10" s="75">
        <f t="shared" si="0"/>
        <v>46122.85</v>
      </c>
      <c r="K10" s="75">
        <f t="shared" si="0"/>
        <v>13433.76</v>
      </c>
      <c r="L10" s="75">
        <f t="shared" si="0"/>
        <v>116904.99</v>
      </c>
      <c r="M10" s="75">
        <f t="shared" si="0"/>
        <v>11408.58</v>
      </c>
      <c r="N10" s="75">
        <f t="shared" si="0"/>
        <v>9941.35</v>
      </c>
      <c r="O10" s="75">
        <f t="shared" si="0"/>
        <v>34399.279999999999</v>
      </c>
      <c r="P10" s="75">
        <f t="shared" si="0"/>
        <v>6542.61</v>
      </c>
      <c r="Q10" s="77">
        <f t="shared" ref="Q10:AH10" si="1">SUBTOTAL(9,Q11:Q11)</f>
        <v>62291.82</v>
      </c>
      <c r="R10" s="76">
        <f t="shared" si="1"/>
        <v>10503.826379999999</v>
      </c>
      <c r="S10" s="76">
        <f t="shared" si="1"/>
        <v>35745.450000000004</v>
      </c>
      <c r="T10" s="76">
        <f t="shared" si="1"/>
        <v>16061.2909</v>
      </c>
      <c r="U10" s="76">
        <f t="shared" si="1"/>
        <v>8889.5835000000006</v>
      </c>
      <c r="V10" s="76">
        <f t="shared" si="1"/>
        <v>71200.150779999996</v>
      </c>
      <c r="W10" s="76">
        <f t="shared" si="1"/>
        <v>133491.97078</v>
      </c>
      <c r="X10" s="76">
        <f t="shared" si="1"/>
        <v>11522.665800000001</v>
      </c>
      <c r="Y10" s="76">
        <f t="shared" si="1"/>
        <v>12227.860500000001</v>
      </c>
      <c r="Z10" s="76">
        <f t="shared" si="1"/>
        <v>47127.013600000006</v>
      </c>
      <c r="AA10" s="76">
        <f t="shared" si="1"/>
        <v>6925.3526849999998</v>
      </c>
      <c r="AB10" s="76">
        <f t="shared" si="1"/>
        <v>77802.892585000009</v>
      </c>
      <c r="AC10" s="76">
        <f t="shared" si="1"/>
        <v>10761.306676052938</v>
      </c>
      <c r="AD10" s="76">
        <f t="shared" si="1"/>
        <v>46713.297914400006</v>
      </c>
      <c r="AE10" s="76">
        <f t="shared" si="1"/>
        <v>16061.2909</v>
      </c>
      <c r="AF10" s="76">
        <f t="shared" si="1"/>
        <v>9410.5130931000003</v>
      </c>
      <c r="AG10" s="76">
        <f t="shared" si="1"/>
        <v>82946.40858355294</v>
      </c>
      <c r="AH10" s="76">
        <f t="shared" si="1"/>
        <v>160749.30116855295</v>
      </c>
      <c r="AI10" s="137"/>
      <c r="AJ10" s="137"/>
      <c r="AK10" s="45" t="s">
        <v>61</v>
      </c>
      <c r="AL10" s="76">
        <f t="shared" ref="AL10:AZ10" si="2">SUBTOTAL(9,AL11:AL11)</f>
        <v>114951.23</v>
      </c>
      <c r="AM10" s="76">
        <f t="shared" si="2"/>
        <v>21504.53</v>
      </c>
      <c r="AN10" s="76">
        <f t="shared" si="2"/>
        <v>35843.85</v>
      </c>
      <c r="AO10" s="76">
        <f t="shared" si="2"/>
        <v>46122.85</v>
      </c>
      <c r="AP10" s="76">
        <f t="shared" si="2"/>
        <v>13433.76</v>
      </c>
      <c r="AQ10" s="76">
        <f t="shared" si="2"/>
        <v>116904.98999999999</v>
      </c>
      <c r="AR10" s="76">
        <f t="shared" si="2"/>
        <v>21912.40638</v>
      </c>
      <c r="AS10" s="76">
        <f t="shared" si="2"/>
        <v>39965.892749999999</v>
      </c>
      <c r="AT10" s="76">
        <f t="shared" si="2"/>
        <v>54655.577250000002</v>
      </c>
      <c r="AU10" s="76">
        <f t="shared" si="2"/>
        <v>14777.136000000002</v>
      </c>
      <c r="AV10" s="76">
        <f t="shared" si="2"/>
        <v>131311.01238</v>
      </c>
      <c r="AW10" s="76">
        <f t="shared" si="2"/>
        <v>22350.6545076</v>
      </c>
      <c r="AX10" s="76">
        <f t="shared" si="2"/>
        <v>49464.512999999992</v>
      </c>
      <c r="AY10" s="76">
        <f t="shared" si="2"/>
        <v>63188.304500000006</v>
      </c>
      <c r="AZ10" s="76">
        <f t="shared" si="2"/>
        <v>14777.136000000002</v>
      </c>
      <c r="BA10" s="76">
        <f>SUBTOTAL(9,BA11:BA23)</f>
        <v>149780.60800760001</v>
      </c>
      <c r="BB10" s="93"/>
      <c r="BC10" s="93"/>
    </row>
    <row r="11" spans="1:55">
      <c r="A11" s="112" t="s">
        <v>18</v>
      </c>
      <c r="B11" s="112" t="s">
        <v>79</v>
      </c>
      <c r="C11" s="112" t="s">
        <v>94</v>
      </c>
      <c r="D11" s="112"/>
      <c r="E11" s="112">
        <v>15</v>
      </c>
      <c r="F11" s="140" t="s">
        <v>1</v>
      </c>
      <c r="G11" s="101">
        <f>SUBTOTAL(9,G12:G18)</f>
        <v>114951.23</v>
      </c>
      <c r="H11" s="101">
        <f>SUBTOTAL(9,H12:H18)</f>
        <v>21504.53</v>
      </c>
      <c r="I11" s="101">
        <f>SUBTOTAL(9,I12:I18)</f>
        <v>35843.850000000006</v>
      </c>
      <c r="J11" s="101">
        <f>SUBTOTAL(9,J12:J18)</f>
        <v>46122.85</v>
      </c>
      <c r="K11" s="101">
        <f>SUBTOTAL(9,K12:K18)</f>
        <v>13433.76</v>
      </c>
      <c r="L11" s="101">
        <f>SUM(H11:K11)</f>
        <v>116904.99</v>
      </c>
      <c r="M11" s="101">
        <f>SUBTOTAL(9,M12:M18)</f>
        <v>11408.58</v>
      </c>
      <c r="N11" s="143">
        <v>9941.35</v>
      </c>
      <c r="O11" s="143">
        <v>34399.279999999999</v>
      </c>
      <c r="P11" s="143">
        <v>6542.61</v>
      </c>
      <c r="Q11" s="144">
        <f>SUM(M11:P11)</f>
        <v>62291.82</v>
      </c>
      <c r="R11" s="142">
        <f>(H11-M11)*(R$5)*R$3</f>
        <v>10503.826379999999</v>
      </c>
      <c r="S11" s="142">
        <f>(I11-N11)*S$5</f>
        <v>35745.450000000004</v>
      </c>
      <c r="T11" s="142">
        <f>(J11-O11)*T$5</f>
        <v>16061.2909</v>
      </c>
      <c r="U11" s="142">
        <f>(K11-P11)*U$5</f>
        <v>8889.5835000000006</v>
      </c>
      <c r="V11" s="145">
        <f>U11+T11+S11+R11</f>
        <v>71200.150779999996</v>
      </c>
      <c r="W11" s="101">
        <f>V11+Q11</f>
        <v>133491.97078</v>
      </c>
      <c r="X11" s="146">
        <f>M11*X$5*X$3</f>
        <v>11522.665800000001</v>
      </c>
      <c r="Y11" s="146">
        <f>N11*Y$5</f>
        <v>12227.860500000001</v>
      </c>
      <c r="Z11" s="146">
        <f>O11*Z$5</f>
        <v>47127.013600000006</v>
      </c>
      <c r="AA11" s="146">
        <f>P11*AA$5</f>
        <v>6925.3526849999998</v>
      </c>
      <c r="AB11" s="147">
        <f>SUM(X11:AA11)</f>
        <v>77802.892585000009</v>
      </c>
      <c r="AC11" s="146">
        <f>R11*AC$5*AC$3</f>
        <v>10761.306676052938</v>
      </c>
      <c r="AD11" s="146">
        <f>(S11)*AD$5</f>
        <v>46713.297914400006</v>
      </c>
      <c r="AE11" s="146">
        <f>T11*AE$5</f>
        <v>16061.2909</v>
      </c>
      <c r="AF11" s="146">
        <f>U11*AF$5</f>
        <v>9410.5130931000003</v>
      </c>
      <c r="AG11" s="148">
        <f>SUM(AC11:AF11)</f>
        <v>82946.40858355294</v>
      </c>
      <c r="AH11" s="101">
        <f>AG11+AB11</f>
        <v>160749.30116855295</v>
      </c>
      <c r="AI11" s="149"/>
      <c r="AJ11" s="149"/>
      <c r="AK11" s="140" t="s">
        <v>1</v>
      </c>
      <c r="AL11" s="141">
        <v>114951.23</v>
      </c>
      <c r="AM11" s="142">
        <v>21504.53</v>
      </c>
      <c r="AN11" s="142">
        <v>35843.85</v>
      </c>
      <c r="AO11" s="142">
        <v>46122.85</v>
      </c>
      <c r="AP11" s="142">
        <v>13433.76</v>
      </c>
      <c r="AQ11" s="101">
        <f>SUM(AM11:AP11)</f>
        <v>116904.98999999999</v>
      </c>
      <c r="AR11" s="146">
        <f>M11+R11</f>
        <v>21912.40638</v>
      </c>
      <c r="AS11" s="146">
        <f>AN11*AS4</f>
        <v>39965.892749999999</v>
      </c>
      <c r="AT11" s="146">
        <f>AO11*1.185</f>
        <v>54655.577250000002</v>
      </c>
      <c r="AU11" s="146">
        <f>AP11*AU4</f>
        <v>14777.136000000002</v>
      </c>
      <c r="AV11" s="147">
        <f>SUM(AR11:AU11)</f>
        <v>131311.01238</v>
      </c>
      <c r="AW11" s="146">
        <f>AR11*AW4</f>
        <v>22350.6545076</v>
      </c>
      <c r="AX11" s="146">
        <f>AN11*AX4</f>
        <v>49464.512999999992</v>
      </c>
      <c r="AY11" s="146">
        <f>AO11*AY4</f>
        <v>63188.304500000006</v>
      </c>
      <c r="AZ11" s="146">
        <f>AU11</f>
        <v>14777.136000000002</v>
      </c>
      <c r="BA11" s="101">
        <f>SUM(AW11:AZ11)</f>
        <v>149780.60800760001</v>
      </c>
      <c r="BB11" s="93"/>
      <c r="BC11" s="93"/>
    </row>
    <row r="12" spans="1:55">
      <c r="A12" s="1"/>
      <c r="B12" s="1"/>
      <c r="C12" s="1"/>
      <c r="D12" s="5"/>
      <c r="E12" s="14"/>
      <c r="F12" s="151"/>
      <c r="G12" s="14"/>
      <c r="H12" s="152"/>
      <c r="I12" s="129"/>
      <c r="J12" s="129"/>
      <c r="K12" s="129"/>
      <c r="L12" s="129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4"/>
      <c r="X12" s="5"/>
      <c r="Y12" s="5"/>
      <c r="Z12" s="14"/>
      <c r="AA12" s="14"/>
      <c r="AB12" s="14"/>
      <c r="AC12" s="130"/>
      <c r="AD12" s="130"/>
      <c r="AE12" s="130"/>
      <c r="AF12" s="130"/>
      <c r="AG12" s="130"/>
      <c r="AH12" s="14"/>
      <c r="AI12" s="13"/>
      <c r="AJ12" s="13"/>
      <c r="AK12" s="13"/>
      <c r="AL12" s="13"/>
      <c r="AM12" s="13"/>
      <c r="AN12" s="13"/>
      <c r="AO12" s="13"/>
      <c r="AP12" s="13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5">
      <c r="A13" s="1"/>
      <c r="B13" s="1"/>
      <c r="C13" s="1"/>
      <c r="D13" s="5"/>
      <c r="E13" s="14"/>
      <c r="F13" s="153" t="s">
        <v>116</v>
      </c>
      <c r="G13" s="141">
        <v>114951.23</v>
      </c>
      <c r="H13" s="142">
        <v>21504.53</v>
      </c>
      <c r="I13" s="153">
        <v>33467.19</v>
      </c>
      <c r="J13" s="153">
        <v>43229.07</v>
      </c>
      <c r="K13" s="153">
        <v>12322.35</v>
      </c>
      <c r="L13" s="153">
        <f>K13+J13+I13+H13</f>
        <v>110523.14</v>
      </c>
      <c r="M13" s="154">
        <v>11408.58</v>
      </c>
      <c r="N13" s="153">
        <v>9353.57</v>
      </c>
      <c r="O13" s="153">
        <v>32083.43</v>
      </c>
      <c r="P13" s="153">
        <v>5994.38</v>
      </c>
      <c r="Q13" s="153"/>
      <c r="R13" s="142">
        <f>(H13-M13)*(R$5)*R$3</f>
        <v>10503.826379999999</v>
      </c>
      <c r="S13" s="142">
        <f>(I13-N13)*S$5</f>
        <v>33276.795599999998</v>
      </c>
      <c r="T13" s="142">
        <f>(J13-O13)*T$5</f>
        <v>15269.5268</v>
      </c>
      <c r="U13" s="142">
        <f>(K13-P13)*U$5</f>
        <v>8163.0813000000007</v>
      </c>
      <c r="V13" s="145">
        <f>U13+T13+S13+R13</f>
        <v>67213.230079999994</v>
      </c>
      <c r="W13" s="101">
        <f>V13+Q13</f>
        <v>67213.230079999994</v>
      </c>
      <c r="X13" s="146">
        <f>M13*X$5*X$3</f>
        <v>11522.665800000001</v>
      </c>
      <c r="Y13" s="146">
        <f>N13*Y$5</f>
        <v>11504.891099999999</v>
      </c>
      <c r="Z13" s="146">
        <f>O13*Z$5</f>
        <v>43954.299100000004</v>
      </c>
      <c r="AA13" s="146">
        <f>P13*AA$5</f>
        <v>6345.05123</v>
      </c>
      <c r="AB13" s="148">
        <f>SUM(X13:AA13)</f>
        <v>73326.907229999997</v>
      </c>
      <c r="AC13" s="146">
        <f>R13*AC$5*AC$3</f>
        <v>10761.306676052938</v>
      </c>
      <c r="AD13" s="146">
        <f>(S13)*AD$5</f>
        <v>43487.181347539197</v>
      </c>
      <c r="AE13" s="146">
        <f>T13*AE$5</f>
        <v>15269.5268</v>
      </c>
      <c r="AF13" s="146">
        <f>U13*AF$5</f>
        <v>8641.4378641800013</v>
      </c>
      <c r="AG13" s="148">
        <f>SUM(AC13:AF13)</f>
        <v>78159.452687772136</v>
      </c>
      <c r="AH13" s="101">
        <f>AG13+AB13</f>
        <v>151486.35991777212</v>
      </c>
      <c r="AI13" s="13"/>
      <c r="AJ13" s="13"/>
      <c r="AK13" s="13"/>
      <c r="AL13" s="141"/>
      <c r="AM13" s="142"/>
      <c r="AN13" s="142"/>
      <c r="AO13" s="142"/>
      <c r="AP13" s="142"/>
      <c r="AQ13" s="101"/>
      <c r="AR13" s="146"/>
      <c r="AS13" s="146"/>
      <c r="AT13" s="146"/>
      <c r="AU13" s="146"/>
      <c r="AV13" s="147"/>
      <c r="AW13" s="146"/>
      <c r="AX13" s="146"/>
      <c r="AY13" s="146"/>
      <c r="AZ13" s="146"/>
      <c r="BA13" s="101"/>
    </row>
    <row r="14" spans="1:55">
      <c r="A14" s="1" t="s">
        <v>115</v>
      </c>
      <c r="B14" s="1"/>
      <c r="C14" s="1"/>
      <c r="D14" s="5"/>
      <c r="E14" s="14"/>
      <c r="F14" s="153" t="s">
        <v>117</v>
      </c>
      <c r="G14" s="153"/>
      <c r="H14" s="153"/>
      <c r="I14" s="153">
        <v>2376.66</v>
      </c>
      <c r="J14" s="153">
        <v>2893.78</v>
      </c>
      <c r="K14" s="153">
        <v>1111.4100000000001</v>
      </c>
      <c r="L14" s="153">
        <f>K14+J14+I14</f>
        <v>6381.85</v>
      </c>
      <c r="M14" s="154"/>
      <c r="N14" s="154">
        <f>N11-N13</f>
        <v>587.78000000000065</v>
      </c>
      <c r="O14" s="154">
        <f>O11-O13</f>
        <v>2315.8499999999985</v>
      </c>
      <c r="P14" s="154">
        <f>P11-P13</f>
        <v>548.22999999999956</v>
      </c>
      <c r="Q14" s="153"/>
      <c r="R14" s="153"/>
      <c r="S14" s="154"/>
      <c r="T14" s="153"/>
      <c r="U14" s="155"/>
      <c r="V14" s="153"/>
      <c r="W14" s="153"/>
      <c r="X14" s="153"/>
      <c r="Y14" s="153"/>
      <c r="Z14" s="153"/>
      <c r="AA14" s="154"/>
      <c r="AB14" s="153"/>
      <c r="AC14" s="153"/>
      <c r="AD14" s="154"/>
      <c r="AE14" s="154"/>
      <c r="AF14" s="153"/>
      <c r="AG14" s="153"/>
      <c r="AH14" s="154"/>
      <c r="AI14" s="13"/>
      <c r="AJ14" s="13"/>
      <c r="AK14" s="13"/>
      <c r="AL14" s="13"/>
      <c r="AM14" s="13"/>
      <c r="AN14" s="13"/>
      <c r="AO14" s="13"/>
      <c r="AP14" s="13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5">
      <c r="B15" s="1"/>
      <c r="C15" s="1"/>
      <c r="D15" s="5"/>
      <c r="E15" s="5"/>
      <c r="F15" s="5"/>
      <c r="G15" s="5"/>
      <c r="H15" s="5"/>
      <c r="I15" s="5"/>
      <c r="J15" s="5"/>
      <c r="K15" s="5"/>
      <c r="L15" s="5"/>
      <c r="M15" s="4"/>
      <c r="N15" s="4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4"/>
      <c r="AA15" s="14"/>
      <c r="AB15" s="121"/>
      <c r="AC15" s="121"/>
      <c r="AD15" s="14"/>
      <c r="AE15" s="14"/>
      <c r="AF15" s="14"/>
      <c r="AG15" s="14"/>
      <c r="AH15" s="14"/>
      <c r="AI15" s="13"/>
      <c r="AJ15" s="13"/>
      <c r="AK15" s="13"/>
      <c r="AL15" s="13"/>
      <c r="AM15" s="13"/>
      <c r="AN15" s="13"/>
      <c r="AO15" s="13"/>
      <c r="AP15" s="13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</sheetData>
  <mergeCells count="21">
    <mergeCell ref="M7:Q7"/>
    <mergeCell ref="R7:V7"/>
    <mergeCell ref="X7:AB7"/>
    <mergeCell ref="AC7:AH7"/>
    <mergeCell ref="AC8:AH8"/>
    <mergeCell ref="AM8:AQ8"/>
    <mergeCell ref="AR8:AV8"/>
    <mergeCell ref="AW8:BA8"/>
    <mergeCell ref="F9:F10"/>
    <mergeCell ref="AK7:AK9"/>
    <mergeCell ref="AL7:AQ7"/>
    <mergeCell ref="AR7:AV7"/>
    <mergeCell ref="AW7:BA7"/>
    <mergeCell ref="H8:L8"/>
    <mergeCell ref="M8:Q8"/>
    <mergeCell ref="R8:U8"/>
    <mergeCell ref="V8:V9"/>
    <mergeCell ref="W8:W9"/>
    <mergeCell ref="X8:AB8"/>
    <mergeCell ref="F7:F8"/>
    <mergeCell ref="G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BUDŻET</vt:lpstr>
      <vt:lpstr>Biuro finansowania oświaty</vt:lpstr>
      <vt:lpstr>Straż Miejska</vt:lpstr>
      <vt:lpstr>BUDŻET!Obszar_wydruku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2018-10-23T09:07:34Z</dcterms:modified>
</cp:coreProperties>
</file>