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tabRatio="714" activeTab="0"/>
  </bookViews>
  <sheets>
    <sheet name="Formularz  2a" sheetId="1" r:id="rId1"/>
    <sheet name="Formularz  2b" sheetId="2" r:id="rId2"/>
    <sheet name="Formularz 2c" sheetId="3" r:id="rId3"/>
    <sheet name="Formularz  2d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EN1">#REF!</definedName>
    <definedName name="GEN2">#REF!</definedName>
    <definedName name="GEN3">#REF!</definedName>
    <definedName name="Gorzów_Wlkp_Oświetlenie" localSheetId="0">'[2]SIWZ_OŚWIETLENIE'!#REF!</definedName>
    <definedName name="Gorzów_Wlkp_Oświetlenie" localSheetId="1">'[2]SIWZ_OŚWIETLENIE'!#REF!</definedName>
    <definedName name="Gorzów_Wlkp_Oświetlenie" localSheetId="3">'[2]SIWZ_OŚWIETLENIE'!#REF!</definedName>
    <definedName name="Gorzów_Wlkp_Oświetlenie" localSheetId="2">'[2]SIWZ_OŚWIETLENIE'!#REF!</definedName>
    <definedName name="Gorzów_Wlkp_Oświetlenie">'[2]SIWZ_OŚWIETLENIE'!#REF!</definedName>
    <definedName name="GRH_Gorzów_Obiekty" localSheetId="0">'[2]SIWZ_OBIEKTY'!#REF!</definedName>
    <definedName name="GRH_Gorzów_Obiekty" localSheetId="1">'[2]SIWZ_OBIEKTY'!#REF!</definedName>
    <definedName name="GRH_Gorzów_Obiekty" localSheetId="3">'[2]SIWZ_OBIEKTY'!#REF!</definedName>
    <definedName name="GRH_Gorzów_Obiekty" localSheetId="2">'[2]SIWZ_OBIEKTY'!#REF!</definedName>
    <definedName name="GRH_Gorzów_Obiekty">'[2]SIWZ_OBIEKTY'!#REF!</definedName>
    <definedName name="GTBS_Gorzów_Obiekty" localSheetId="0">'[2]SIWZ_OBIEKTY'!#REF!</definedName>
    <definedName name="GTBS_Gorzów_Obiekty" localSheetId="1">'[2]SIWZ_OBIEKTY'!#REF!</definedName>
    <definedName name="GTBS_Gorzów_Obiekty" localSheetId="3">'[2]SIWZ_OBIEKTY'!#REF!</definedName>
    <definedName name="GTBS_Gorzów_Obiekty" localSheetId="2">'[2]SIWZ_OBIEKTY'!#REF!</definedName>
    <definedName name="GTBS_Gorzów_Obiekty">'[2]SIWZ_OBIEKTY'!#REF!</definedName>
    <definedName name="Krzeszyce_Obiekty" localSheetId="0">'[2]SIWZ_OBIEKTY'!#REF!</definedName>
    <definedName name="Krzeszyce_Obiekty" localSheetId="1">'[2]SIWZ_OBIEKTY'!#REF!</definedName>
    <definedName name="Krzeszyce_Obiekty" localSheetId="3">'[2]SIWZ_OBIEKTY'!#REF!</definedName>
    <definedName name="Krzeszyce_Obiekty" localSheetId="2">'[2]SIWZ_OBIEKTY'!#REF!</definedName>
    <definedName name="Krzeszyce_Obiekty">'[2]SIWZ_OBIEKTY'!#REF!</definedName>
    <definedName name="Krzeszyce_Oświetlenie" localSheetId="0">'[2]SIWZ_OŚWIETLENIE'!#REF!</definedName>
    <definedName name="Krzeszyce_Oświetlenie" localSheetId="1">'[2]SIWZ_OŚWIETLENIE'!#REF!</definedName>
    <definedName name="Krzeszyce_Oświetlenie" localSheetId="3">'[2]SIWZ_OŚWIETLENIE'!#REF!</definedName>
    <definedName name="Krzeszyce_Oświetlenie" localSheetId="2">'[2]SIWZ_OŚWIETLENIE'!#REF!</definedName>
    <definedName name="Krzeszyce_Oświetlenie">'[2]SIWZ_OŚWIETLENIE'!#REF!</definedName>
    <definedName name="Lubiszyn_Obiekty" localSheetId="0">'[2]SIWZ_OBIEKTY'!#REF!</definedName>
    <definedName name="Lubiszyn_Obiekty" localSheetId="1">'[2]SIWZ_OBIEKTY'!#REF!</definedName>
    <definedName name="Lubiszyn_Obiekty" localSheetId="3">'[2]SIWZ_OBIEKTY'!#REF!</definedName>
    <definedName name="Lubiszyn_Obiekty" localSheetId="2">'[2]SIWZ_OBIEKTY'!#REF!</definedName>
    <definedName name="Lubiszyn_Obiekty">'[2]SIWZ_OBIEKTY'!#REF!</definedName>
    <definedName name="Lubiszyn_Oświetlenie" localSheetId="0">'[2]SIWZ_OŚWIETLENIE'!#REF!</definedName>
    <definedName name="Lubiszyn_Oświetlenie" localSheetId="1">'[2]SIWZ_OŚWIETLENIE'!#REF!</definedName>
    <definedName name="Lubiszyn_Oświetlenie" localSheetId="3">'[2]SIWZ_OŚWIETLENIE'!#REF!</definedName>
    <definedName name="Lubiszyn_Oświetlenie" localSheetId="2">'[2]SIWZ_OŚWIETLENIE'!#REF!</definedName>
    <definedName name="Lubiszyn_Oświetlenie">'[2]SIWZ_OŚWIETLENIE'!#REF!</definedName>
    <definedName name="Maszewo_Obiekty" localSheetId="0">'[2]SIWZ_OBIEKTY'!#REF!</definedName>
    <definedName name="Maszewo_Obiekty" localSheetId="1">'[2]SIWZ_OBIEKTY'!#REF!</definedName>
    <definedName name="Maszewo_Obiekty" localSheetId="3">'[2]SIWZ_OBIEKTY'!#REF!</definedName>
    <definedName name="Maszewo_Obiekty" localSheetId="2">'[2]SIWZ_OBIEKTY'!#REF!</definedName>
    <definedName name="Maszewo_Obiekty">'[2]SIWZ_OBIEKTY'!#REF!</definedName>
    <definedName name="Międzyrzecz_Gmina_Obiekty" localSheetId="0">'[2]SIWZ_OBIEKTY'!#REF!</definedName>
    <definedName name="Międzyrzecz_Gmina_Obiekty" localSheetId="1">'[2]SIWZ_OBIEKTY'!#REF!</definedName>
    <definedName name="Międzyrzecz_Gmina_Obiekty" localSheetId="3">'[2]SIWZ_OBIEKTY'!#REF!</definedName>
    <definedName name="Międzyrzecz_Gmina_Obiekty" localSheetId="2">'[2]SIWZ_OBIEKTY'!#REF!</definedName>
    <definedName name="Międzyrzecz_Gmina_Obiekty">'[2]SIWZ_OBIEKTY'!#REF!</definedName>
    <definedName name="Międzyrzecz_Oświetlenie" localSheetId="0">'[2]SIWZ_OŚWIETLENIE'!#REF!</definedName>
    <definedName name="Międzyrzecz_Oświetlenie" localSheetId="1">'[2]SIWZ_OŚWIETLENIE'!#REF!</definedName>
    <definedName name="Międzyrzecz_Oświetlenie" localSheetId="3">'[2]SIWZ_OŚWIETLENIE'!#REF!</definedName>
    <definedName name="Międzyrzecz_Oświetlenie" localSheetId="2">'[2]SIWZ_OŚWIETLENIE'!#REF!</definedName>
    <definedName name="Międzyrzecz_Oświetlenie">'[2]SIWZ_OŚWIETLENIE'!#REF!</definedName>
    <definedName name="Międzyrzecz_Powiat_Obiekty" localSheetId="0">'[2]SIWZ_OBIEKTY'!#REF!</definedName>
    <definedName name="Międzyrzecz_Powiat_Obiekty" localSheetId="1">'[2]SIWZ_OBIEKTY'!#REF!</definedName>
    <definedName name="Międzyrzecz_Powiat_Obiekty" localSheetId="3">'[2]SIWZ_OBIEKTY'!#REF!</definedName>
    <definedName name="Międzyrzecz_Powiat_Obiekty" localSheetId="2">'[2]SIWZ_OBIEKTY'!#REF!</definedName>
    <definedName name="Międzyrzecz_Powiat_Obiekty">'[2]SIWZ_OBIEKTY'!#REF!</definedName>
    <definedName name="MPWiK_Międzyrzecz_Obiekty" localSheetId="0">'[2]SIWZ_OBIEKTY'!#REF!</definedName>
    <definedName name="MPWiK_Międzyrzecz_Obiekty" localSheetId="1">'[2]SIWZ_OBIEKTY'!#REF!</definedName>
    <definedName name="MPWiK_Międzyrzecz_Obiekty" localSheetId="3">'[2]SIWZ_OBIEKTY'!#REF!</definedName>
    <definedName name="MPWiK_Międzyrzecz_Obiekty" localSheetId="2">'[2]SIWZ_OBIEKTY'!#REF!</definedName>
    <definedName name="MPWiK_Międzyrzecz_Obiekty">'[2]SIWZ_OBIEKTY'!#REF!</definedName>
    <definedName name="OB03" localSheetId="0">'[3]Obiekty'!#REF!</definedName>
    <definedName name="OB03" localSheetId="1">'[3]Obiekty'!#REF!</definedName>
    <definedName name="OB03" localSheetId="3">'[3]Obiekty'!#REF!</definedName>
    <definedName name="OB03" localSheetId="2">'[3]Obiekty'!#REF!</definedName>
    <definedName name="OB03">'[3]Obiekty'!#REF!</definedName>
    <definedName name="ob1">'[4]DANE SIWZ_OBIEKTY '!$C$9</definedName>
    <definedName name="ob10">'[4]DANE SIWZ_OBIEKTY '!$C$612</definedName>
    <definedName name="ob11">'[4]DANE SIWZ_OBIEKTY '!$C$631</definedName>
    <definedName name="ob12">'[4]DANE SIWZ_OBIEKTY '!$C$691</definedName>
    <definedName name="ob13">'[4]DANE SIWZ_OBIEKTY '!$C$713</definedName>
    <definedName name="ob14" localSheetId="0">'[4]DANE SIWZ_OBIEKTY '!#REF!</definedName>
    <definedName name="ob14" localSheetId="1">'[4]DANE SIWZ_OBIEKTY '!#REF!</definedName>
    <definedName name="ob14" localSheetId="3">'[4]DANE SIWZ_OBIEKTY '!#REF!</definedName>
    <definedName name="ob14" localSheetId="2">'[4]DANE SIWZ_OBIEKTY '!#REF!</definedName>
    <definedName name="ob14">'[4]DANE SIWZ_OBIEKTY '!#REF!</definedName>
    <definedName name="ob15" localSheetId="0">'[4]DANE SIWZ_OBIEKTY '!#REF!</definedName>
    <definedName name="ob15" localSheetId="1">'[4]DANE SIWZ_OBIEKTY '!#REF!</definedName>
    <definedName name="ob15" localSheetId="3">'[4]DANE SIWZ_OBIEKTY '!#REF!</definedName>
    <definedName name="ob15" localSheetId="2">'[4]DANE SIWZ_OBIEKTY '!#REF!</definedName>
    <definedName name="ob15">'[4]DANE SIWZ_OBIEKTY '!#REF!</definedName>
    <definedName name="ob16" localSheetId="0">'[4]DANE SIWZ_OBIEKTY '!#REF!</definedName>
    <definedName name="ob16" localSheetId="1">'[4]DANE SIWZ_OBIEKTY '!#REF!</definedName>
    <definedName name="ob16" localSheetId="3">'[4]DANE SIWZ_OBIEKTY '!#REF!</definedName>
    <definedName name="ob16" localSheetId="2">'[4]DANE SIWZ_OBIEKTY '!#REF!</definedName>
    <definedName name="ob16">'[4]DANE SIWZ_OBIEKTY '!#REF!</definedName>
    <definedName name="ob17" localSheetId="0">'[4]DANE SIWZ_OBIEKTY '!#REF!</definedName>
    <definedName name="ob17" localSheetId="1">'[4]DANE SIWZ_OBIEKTY '!#REF!</definedName>
    <definedName name="ob17" localSheetId="3">'[4]DANE SIWZ_OBIEKTY '!#REF!</definedName>
    <definedName name="ob17" localSheetId="2">'[4]DANE SIWZ_OBIEKTY '!#REF!</definedName>
    <definedName name="ob17">'[4]DANE SIWZ_OBIEKTY '!#REF!</definedName>
    <definedName name="ob18" localSheetId="0">'[4]DANE SIWZ_OBIEKTY '!#REF!</definedName>
    <definedName name="ob18" localSheetId="1">'[4]DANE SIWZ_OBIEKTY '!#REF!</definedName>
    <definedName name="ob18" localSheetId="3">'[4]DANE SIWZ_OBIEKTY '!#REF!</definedName>
    <definedName name="ob18" localSheetId="2">'[4]DANE SIWZ_OBIEKTY '!#REF!</definedName>
    <definedName name="ob18">'[4]DANE SIWZ_OBIEKTY '!#REF!</definedName>
    <definedName name="ob19" localSheetId="0">'[4]DANE SIWZ_OBIEKTY '!#REF!</definedName>
    <definedName name="ob19" localSheetId="1">'[4]DANE SIWZ_OBIEKTY '!#REF!</definedName>
    <definedName name="ob19" localSheetId="3">'[4]DANE SIWZ_OBIEKTY '!#REF!</definedName>
    <definedName name="ob19" localSheetId="2">'[4]DANE SIWZ_OBIEKTY '!#REF!</definedName>
    <definedName name="ob19">'[4]DANE SIWZ_OBIEKTY '!#REF!</definedName>
    <definedName name="ob2">'[4]DANE SIWZ_OBIEKTY '!$C$43</definedName>
    <definedName name="ob20" localSheetId="0">'[4]DANE SIWZ_OBIEKTY '!#REF!</definedName>
    <definedName name="ob20" localSheetId="1">'[4]DANE SIWZ_OBIEKTY '!#REF!</definedName>
    <definedName name="ob20" localSheetId="3">'[4]DANE SIWZ_OBIEKTY '!#REF!</definedName>
    <definedName name="ob20" localSheetId="2">'[4]DANE SIWZ_OBIEKTY '!#REF!</definedName>
    <definedName name="ob20">'[4]DANE SIWZ_OBIEKTY '!#REF!</definedName>
    <definedName name="ob21" localSheetId="0">'[4]DANE SIWZ_OBIEKTY '!#REF!</definedName>
    <definedName name="ob21" localSheetId="1">'[4]DANE SIWZ_OBIEKTY '!#REF!</definedName>
    <definedName name="ob21" localSheetId="3">'[4]DANE SIWZ_OBIEKTY '!#REF!</definedName>
    <definedName name="ob21" localSheetId="2">'[4]DANE SIWZ_OBIEKTY '!#REF!</definedName>
    <definedName name="ob21">'[4]DANE SIWZ_OBIEKTY '!#REF!</definedName>
    <definedName name="ob22" localSheetId="0">'[4]DANE SIWZ_OBIEKTY '!#REF!</definedName>
    <definedName name="ob22" localSheetId="1">'[4]DANE SIWZ_OBIEKTY '!#REF!</definedName>
    <definedName name="ob22" localSheetId="3">'[4]DANE SIWZ_OBIEKTY '!#REF!</definedName>
    <definedName name="ob22" localSheetId="2">'[4]DANE SIWZ_OBIEKTY '!#REF!</definedName>
    <definedName name="ob22">'[4]DANE SIWZ_OBIEKTY '!#REF!</definedName>
    <definedName name="ob23" localSheetId="0">'[4]DANE SIWZ_OBIEKTY '!#REF!</definedName>
    <definedName name="ob23" localSheetId="1">'[4]DANE SIWZ_OBIEKTY '!#REF!</definedName>
    <definedName name="ob23" localSheetId="3">'[4]DANE SIWZ_OBIEKTY '!#REF!</definedName>
    <definedName name="ob23" localSheetId="2">'[4]DANE SIWZ_OBIEKTY '!#REF!</definedName>
    <definedName name="ob23">'[4]DANE SIWZ_OBIEKTY '!#REF!</definedName>
    <definedName name="ob24" localSheetId="0">'[4]DANE SIWZ_OBIEKTY '!#REF!</definedName>
    <definedName name="ob24" localSheetId="1">'[4]DANE SIWZ_OBIEKTY '!#REF!</definedName>
    <definedName name="ob24" localSheetId="3">'[4]DANE SIWZ_OBIEKTY '!#REF!</definedName>
    <definedName name="ob24" localSheetId="2">'[4]DANE SIWZ_OBIEKTY '!#REF!</definedName>
    <definedName name="ob24">'[4]DANE SIWZ_OBIEKTY '!#REF!</definedName>
    <definedName name="ob25" localSheetId="0">'[4]DANE SIWZ_OBIEKTY '!#REF!</definedName>
    <definedName name="ob25" localSheetId="1">'[4]DANE SIWZ_OBIEKTY '!#REF!</definedName>
    <definedName name="ob25" localSheetId="3">'[4]DANE SIWZ_OBIEKTY '!#REF!</definedName>
    <definedName name="ob25" localSheetId="2">'[4]DANE SIWZ_OBIEKTY '!#REF!</definedName>
    <definedName name="ob25">'[4]DANE SIWZ_OBIEKTY '!#REF!</definedName>
    <definedName name="OB26" localSheetId="0">'[5]Obiekty'!#REF!</definedName>
    <definedName name="OB26" localSheetId="1">'[5]Obiekty'!#REF!</definedName>
    <definedName name="OB26" localSheetId="3">'[5]Obiekty'!#REF!</definedName>
    <definedName name="OB26" localSheetId="2">'[5]Obiekty'!#REF!</definedName>
    <definedName name="OB26">'[5]Obiekty'!#REF!</definedName>
    <definedName name="OB27" localSheetId="0">'[5]Obiekty'!#REF!</definedName>
    <definedName name="OB27" localSheetId="1">'[5]Obiekty'!#REF!</definedName>
    <definedName name="OB27" localSheetId="3">'[5]Obiekty'!#REF!</definedName>
    <definedName name="OB27" localSheetId="2">'[5]Obiekty'!#REF!</definedName>
    <definedName name="OB27">'[5]Obiekty'!#REF!</definedName>
    <definedName name="OB28" localSheetId="0">'[5]Obiekty'!#REF!</definedName>
    <definedName name="OB28" localSheetId="1">'[5]Obiekty'!#REF!</definedName>
    <definedName name="OB28" localSheetId="3">'[5]Obiekty'!#REF!</definedName>
    <definedName name="OB28" localSheetId="2">'[5]Obiekty'!#REF!</definedName>
    <definedName name="OB28">'[5]Obiekty'!#REF!</definedName>
    <definedName name="ob3">'[4]DANE SIWZ_OBIEKTY '!$C$90</definedName>
    <definedName name="ob4">'[4]DANE SIWZ_OBIEKTY '!$C$178</definedName>
    <definedName name="ob5">'[4]DANE SIWZ_OBIEKTY '!$C$228</definedName>
    <definedName name="ob6">'[4]DANE SIWZ_OBIEKTY '!$C$328</definedName>
    <definedName name="ob7">'[4]DANE SIWZ_OBIEKTY '!$C$449</definedName>
    <definedName name="ob8">'[4]DANE SIWZ_OBIEKTY '!$C$553</definedName>
    <definedName name="ob9">'[4]DANE SIWZ_OBIEKTY '!$C$570</definedName>
    <definedName name="_xlnm.Print_Area" localSheetId="0">'Formularz  2a'!$A$7:$I$150</definedName>
    <definedName name="_xlnm.Print_Area" localSheetId="1">'Formularz  2b'!$A$7:$I$43</definedName>
    <definedName name="_xlnm.Print_Area" localSheetId="3">'Formularz  2d'!$A$6:$I$42</definedName>
    <definedName name="_xlnm.Print_Area" localSheetId="2">'Formularz 2c'!$A$7:$I$150</definedName>
    <definedName name="os1">'[6]Załącznik_1b'!$C$6</definedName>
    <definedName name="os10" localSheetId="0">'[4]DANE SIWZ_OSWIETLENIE'!#REF!</definedName>
    <definedName name="os10" localSheetId="1">'[4]DANE SIWZ_OSWIETLENIE'!#REF!</definedName>
    <definedName name="os10" localSheetId="3">'[4]DANE SIWZ_OSWIETLENIE'!#REF!</definedName>
    <definedName name="os10" localSheetId="2">'[4]DANE SIWZ_OSWIETLENIE'!#REF!</definedName>
    <definedName name="os10">'[4]DANE SIWZ_OSWIETLENIE'!#REF!</definedName>
    <definedName name="os11" localSheetId="0">'[4]DANE SIWZ_OSWIETLENIE'!#REF!</definedName>
    <definedName name="os11" localSheetId="1">'[4]DANE SIWZ_OSWIETLENIE'!#REF!</definedName>
    <definedName name="os11" localSheetId="3">'[4]DANE SIWZ_OSWIETLENIE'!#REF!</definedName>
    <definedName name="os11" localSheetId="2">'[4]DANE SIWZ_OSWIETLENIE'!#REF!</definedName>
    <definedName name="os11">'[4]DANE SIWZ_OSWIETLENIE'!#REF!</definedName>
    <definedName name="os12" localSheetId="0">'[4]DANE SIWZ_OSWIETLENIE'!#REF!</definedName>
    <definedName name="os12" localSheetId="1">'[4]DANE SIWZ_OSWIETLENIE'!#REF!</definedName>
    <definedName name="os12" localSheetId="3">'[4]DANE SIWZ_OSWIETLENIE'!#REF!</definedName>
    <definedName name="os12" localSheetId="2">'[4]DANE SIWZ_OSWIETLENIE'!#REF!</definedName>
    <definedName name="os12">'[4]DANE SIWZ_OSWIETLENIE'!#REF!</definedName>
    <definedName name="os13" localSheetId="0">'[4]DANE SIWZ_OSWIETLENIE'!#REF!</definedName>
    <definedName name="os13" localSheetId="1">'[4]DANE SIWZ_OSWIETLENIE'!#REF!</definedName>
    <definedName name="os13" localSheetId="3">'[4]DANE SIWZ_OSWIETLENIE'!#REF!</definedName>
    <definedName name="os13" localSheetId="2">'[4]DANE SIWZ_OSWIETLENIE'!#REF!</definedName>
    <definedName name="os13">'[4]DANE SIWZ_OSWIETLENIE'!#REF!</definedName>
    <definedName name="os14" localSheetId="0">'[4]DANE SIWZ_OSWIETLENIE'!#REF!</definedName>
    <definedName name="os14" localSheetId="1">'[4]DANE SIWZ_OSWIETLENIE'!#REF!</definedName>
    <definedName name="os14" localSheetId="3">'[4]DANE SIWZ_OSWIETLENIE'!#REF!</definedName>
    <definedName name="os14" localSheetId="2">'[4]DANE SIWZ_OSWIETLENIE'!#REF!</definedName>
    <definedName name="os14">'[4]DANE SIWZ_OSWIETLENIE'!#REF!</definedName>
    <definedName name="os15" localSheetId="0">'[4]DANE SIWZ_OSWIETLENIE'!#REF!</definedName>
    <definedName name="os15" localSheetId="1">'[4]DANE SIWZ_OSWIETLENIE'!#REF!</definedName>
    <definedName name="os15" localSheetId="3">'[4]DANE SIWZ_OSWIETLENIE'!#REF!</definedName>
    <definedName name="os15" localSheetId="2">'[4]DANE SIWZ_OSWIETLENIE'!#REF!</definedName>
    <definedName name="os15">'[4]DANE SIWZ_OSWIETLENIE'!#REF!</definedName>
    <definedName name="os16" localSheetId="0">'[4]DANE SIWZ_OSWIETLENIE'!#REF!</definedName>
    <definedName name="os16" localSheetId="1">'[4]DANE SIWZ_OSWIETLENIE'!#REF!</definedName>
    <definedName name="os16" localSheetId="3">'[4]DANE SIWZ_OSWIETLENIE'!#REF!</definedName>
    <definedName name="os16" localSheetId="2">'[4]DANE SIWZ_OSWIETLENIE'!#REF!</definedName>
    <definedName name="os16">'[4]DANE SIWZ_OSWIETLENIE'!#REF!</definedName>
    <definedName name="os17" localSheetId="0">'[4]DANE SIWZ_OSWIETLENIE'!#REF!</definedName>
    <definedName name="os17" localSheetId="1">'[4]DANE SIWZ_OSWIETLENIE'!#REF!</definedName>
    <definedName name="os17" localSheetId="3">'[4]DANE SIWZ_OSWIETLENIE'!#REF!</definedName>
    <definedName name="os17" localSheetId="2">'[4]DANE SIWZ_OSWIETLENIE'!#REF!</definedName>
    <definedName name="os17">'[4]DANE SIWZ_OSWIETLENIE'!#REF!</definedName>
    <definedName name="os18" localSheetId="0">'[4]DANE SIWZ_OSWIETLENIE'!#REF!</definedName>
    <definedName name="os18" localSheetId="1">'[4]DANE SIWZ_OSWIETLENIE'!#REF!</definedName>
    <definedName name="os18" localSheetId="3">'[4]DANE SIWZ_OSWIETLENIE'!#REF!</definedName>
    <definedName name="os18" localSheetId="2">'[4]DANE SIWZ_OSWIETLENIE'!#REF!</definedName>
    <definedName name="os18">'[4]DANE SIWZ_OSWIETLENIE'!#REF!</definedName>
    <definedName name="os19" localSheetId="0">'[4]DANE SIWZ_OSWIETLENIE'!#REF!</definedName>
    <definedName name="os19" localSheetId="1">'[4]DANE SIWZ_OSWIETLENIE'!#REF!</definedName>
    <definedName name="os19" localSheetId="3">'[4]DANE SIWZ_OSWIETLENIE'!#REF!</definedName>
    <definedName name="os19" localSheetId="2">'[4]DANE SIWZ_OSWIETLENIE'!#REF!</definedName>
    <definedName name="os19">'[4]DANE SIWZ_OSWIETLENIE'!#REF!</definedName>
    <definedName name="os2">'[6]Załącznik_1b'!$C$23</definedName>
    <definedName name="os20" localSheetId="0">'[4]DANE SIWZ_OSWIETLENIE'!#REF!</definedName>
    <definedName name="os20" localSheetId="1">'[4]DANE SIWZ_OSWIETLENIE'!#REF!</definedName>
    <definedName name="os20" localSheetId="3">'[4]DANE SIWZ_OSWIETLENIE'!#REF!</definedName>
    <definedName name="os20" localSheetId="2">'[4]DANE SIWZ_OSWIETLENIE'!#REF!</definedName>
    <definedName name="os20">'[4]DANE SIWZ_OSWIETLENIE'!#REF!</definedName>
    <definedName name="os21" localSheetId="0">'[4]DANE SIWZ_OSWIETLENIE'!#REF!</definedName>
    <definedName name="os21" localSheetId="1">'[4]DANE SIWZ_OSWIETLENIE'!#REF!</definedName>
    <definedName name="os21" localSheetId="3">'[4]DANE SIWZ_OSWIETLENIE'!#REF!</definedName>
    <definedName name="os21" localSheetId="2">'[4]DANE SIWZ_OSWIETLENIE'!#REF!</definedName>
    <definedName name="os21">'[4]DANE SIWZ_OSWIETLENIE'!#REF!</definedName>
    <definedName name="os22" localSheetId="0">'[4]DANE SIWZ_OSWIETLENIE'!#REF!</definedName>
    <definedName name="os22" localSheetId="1">'[4]DANE SIWZ_OSWIETLENIE'!#REF!</definedName>
    <definedName name="os22" localSheetId="3">'[4]DANE SIWZ_OSWIETLENIE'!#REF!</definedName>
    <definedName name="os22" localSheetId="2">'[4]DANE SIWZ_OSWIETLENIE'!#REF!</definedName>
    <definedName name="os22">'[4]DANE SIWZ_OSWIETLENIE'!#REF!</definedName>
    <definedName name="os23" localSheetId="0">'[4]DANE SIWZ_OSWIETLENIE'!#REF!</definedName>
    <definedName name="os23" localSheetId="1">'[4]DANE SIWZ_OSWIETLENIE'!#REF!</definedName>
    <definedName name="os23" localSheetId="3">'[4]DANE SIWZ_OSWIETLENIE'!#REF!</definedName>
    <definedName name="os23" localSheetId="2">'[4]DANE SIWZ_OSWIETLENIE'!#REF!</definedName>
    <definedName name="os23">'[4]DANE SIWZ_OSWIETLENIE'!#REF!</definedName>
    <definedName name="os24" localSheetId="0">'[4]DANE SIWZ_OSWIETLENIE'!#REF!</definedName>
    <definedName name="os24" localSheetId="1">'[4]DANE SIWZ_OSWIETLENIE'!#REF!</definedName>
    <definedName name="os24" localSheetId="3">'[4]DANE SIWZ_OSWIETLENIE'!#REF!</definedName>
    <definedName name="os24" localSheetId="2">'[4]DANE SIWZ_OSWIETLENIE'!#REF!</definedName>
    <definedName name="os24">'[4]DANE SIWZ_OSWIETLENIE'!#REF!</definedName>
    <definedName name="os25" localSheetId="0">'[4]DANE SIWZ_OSWIETLENIE'!#REF!</definedName>
    <definedName name="os25" localSheetId="1">'[4]DANE SIWZ_OSWIETLENIE'!#REF!</definedName>
    <definedName name="os25" localSheetId="3">'[4]DANE SIWZ_OSWIETLENIE'!#REF!</definedName>
    <definedName name="os25" localSheetId="2">'[4]DANE SIWZ_OSWIETLENIE'!#REF!</definedName>
    <definedName name="os25">'[4]DANE SIWZ_OSWIETLENIE'!#REF!</definedName>
    <definedName name="os3">'[6]Załącznik_1b'!$C$122</definedName>
    <definedName name="os4">'[6]Załącznik_1b'!$C$232</definedName>
    <definedName name="os5">'[6]Załącznik_1b'!$C$259</definedName>
    <definedName name="os6" localSheetId="0">'[4]DANE SIWZ_OSWIETLENIE'!#REF!</definedName>
    <definedName name="os6" localSheetId="1">'[4]DANE SIWZ_OSWIETLENIE'!#REF!</definedName>
    <definedName name="os6" localSheetId="3">'[4]DANE SIWZ_OSWIETLENIE'!#REF!</definedName>
    <definedName name="os6" localSheetId="2">'[4]DANE SIWZ_OSWIETLENIE'!#REF!</definedName>
    <definedName name="os6">'[4]DANE SIWZ_OSWIETLENIE'!#REF!</definedName>
    <definedName name="os7">'[6]Załącznik_1b'!$C$372</definedName>
    <definedName name="os8" localSheetId="0">'[4]DANE SIWZ_OSWIETLENIE'!#REF!</definedName>
    <definedName name="os8" localSheetId="1">'[4]DANE SIWZ_OSWIETLENIE'!#REF!</definedName>
    <definedName name="os8" localSheetId="3">'[4]DANE SIWZ_OSWIETLENIE'!#REF!</definedName>
    <definedName name="os8" localSheetId="2">'[4]DANE SIWZ_OSWIETLENIE'!#REF!</definedName>
    <definedName name="os8">'[4]DANE SIWZ_OSWIETLENIE'!#REF!</definedName>
    <definedName name="os9" localSheetId="0">'[4]DANE SIWZ_OSWIETLENIE'!#REF!</definedName>
    <definedName name="os9" localSheetId="1">'[4]DANE SIWZ_OSWIETLENIE'!#REF!</definedName>
    <definedName name="os9" localSheetId="3">'[4]DANE SIWZ_OSWIETLENIE'!#REF!</definedName>
    <definedName name="os9" localSheetId="2">'[4]DANE SIWZ_OSWIETLENIE'!#REF!</definedName>
    <definedName name="os9">'[4]DANE SIWZ_OSWIETLENIE'!#REF!</definedName>
    <definedName name="OSiR_Gorzów_Obiekty" localSheetId="0">'[2]SIWZ_OBIEKTY'!#REF!</definedName>
    <definedName name="OSiR_Gorzów_Obiekty" localSheetId="1">'[2]SIWZ_OBIEKTY'!#REF!</definedName>
    <definedName name="OSiR_Gorzów_Obiekty" localSheetId="3">'[2]SIWZ_OBIEKTY'!#REF!</definedName>
    <definedName name="OSiR_Gorzów_Obiekty" localSheetId="2">'[2]SIWZ_OBIEKTY'!#REF!</definedName>
    <definedName name="OSiR_Gorzów_Obiekty">'[2]SIWZ_OBIEKTY'!#REF!</definedName>
    <definedName name="OSW03" localSheetId="0">'[3]Oświetlenie'!#REF!</definedName>
    <definedName name="OSW03" localSheetId="1">'[3]Oświetlenie'!#REF!</definedName>
    <definedName name="OSW03" localSheetId="3">'[3]Oświetlenie'!#REF!</definedName>
    <definedName name="OSW03" localSheetId="2">'[3]Oświetlenie'!#REF!</definedName>
    <definedName name="OSW03">'[3]Oświetlenie'!#REF!</definedName>
    <definedName name="OSW1">#REF!</definedName>
    <definedName name="OSW10" localSheetId="0">'[5]Oświetlenie'!#REF!</definedName>
    <definedName name="OSW10" localSheetId="1">'[5]Oświetlenie'!#REF!</definedName>
    <definedName name="OSW10" localSheetId="3">'[5]Oświetlenie'!#REF!</definedName>
    <definedName name="OSW10" localSheetId="2">'[5]Oświetlenie'!#REF!</definedName>
    <definedName name="OSW10">'[5]Oświetlenie'!#REF!</definedName>
    <definedName name="OSW11" localSheetId="0">'[5]Oświetlenie'!#REF!</definedName>
    <definedName name="OSW11" localSheetId="1">'[5]Oświetlenie'!#REF!</definedName>
    <definedName name="OSW11" localSheetId="3">'[5]Oświetlenie'!#REF!</definedName>
    <definedName name="OSW11" localSheetId="2">'[5]Oświetlenie'!#REF!</definedName>
    <definedName name="OSW11">'[5]Oświetlenie'!#REF!</definedName>
    <definedName name="OSW12" localSheetId="0">'[5]Oświetlenie'!#REF!</definedName>
    <definedName name="OSW12" localSheetId="1">'[5]Oświetlenie'!#REF!</definedName>
    <definedName name="OSW12" localSheetId="3">'[5]Oświetlenie'!#REF!</definedName>
    <definedName name="OSW12" localSheetId="2">'[5]Oświetlenie'!#REF!</definedName>
    <definedName name="OSW12">'[5]Oświetlenie'!#REF!</definedName>
    <definedName name="OSW13" localSheetId="0">'[5]Oświetlenie'!#REF!</definedName>
    <definedName name="OSW13" localSheetId="1">'[5]Oświetlenie'!#REF!</definedName>
    <definedName name="OSW13" localSheetId="3">'[5]Oświetlenie'!#REF!</definedName>
    <definedName name="OSW13" localSheetId="2">'[5]Oświetlenie'!#REF!</definedName>
    <definedName name="OSW13">'[5]Oświetlenie'!#REF!</definedName>
    <definedName name="OSW14" localSheetId="0">'[5]Oświetlenie'!#REF!</definedName>
    <definedName name="OSW14" localSheetId="1">'[5]Oświetlenie'!#REF!</definedName>
    <definedName name="OSW14" localSheetId="3">'[5]Oświetlenie'!#REF!</definedName>
    <definedName name="OSW14" localSheetId="2">'[5]Oświetlenie'!#REF!</definedName>
    <definedName name="OSW14">'[5]Oświetlenie'!#REF!</definedName>
    <definedName name="OSW15" localSheetId="0">'[5]Oświetlenie'!#REF!</definedName>
    <definedName name="OSW15" localSheetId="1">'[5]Oświetlenie'!#REF!</definedName>
    <definedName name="OSW15" localSheetId="3">'[5]Oświetlenie'!#REF!</definedName>
    <definedName name="OSW15" localSheetId="2">'[5]Oświetlenie'!#REF!</definedName>
    <definedName name="OSW15">'[5]Oświetlenie'!#REF!</definedName>
    <definedName name="OSW16" localSheetId="0">'[5]Oświetlenie'!#REF!</definedName>
    <definedName name="OSW16" localSheetId="1">'[5]Oświetlenie'!#REF!</definedName>
    <definedName name="OSW16" localSheetId="3">'[5]Oświetlenie'!#REF!</definedName>
    <definedName name="OSW16" localSheetId="2">'[5]Oświetlenie'!#REF!</definedName>
    <definedName name="OSW16">'[5]Oświetlenie'!#REF!</definedName>
    <definedName name="OSW17" localSheetId="0">'[5]Oświetlenie'!#REF!</definedName>
    <definedName name="OSW17" localSheetId="1">'[5]Oświetlenie'!#REF!</definedName>
    <definedName name="OSW17" localSheetId="3">'[5]Oświetlenie'!#REF!</definedName>
    <definedName name="OSW17" localSheetId="2">'[5]Oświetlenie'!#REF!</definedName>
    <definedName name="OSW17">'[5]Oświetlenie'!#REF!</definedName>
    <definedName name="OSW18" localSheetId="0">'[5]Oświetlenie'!#REF!</definedName>
    <definedName name="OSW18" localSheetId="1">'[5]Oświetlenie'!#REF!</definedName>
    <definedName name="OSW18" localSheetId="3">'[5]Oświetlenie'!#REF!</definedName>
    <definedName name="OSW18" localSheetId="2">'[5]Oświetlenie'!#REF!</definedName>
    <definedName name="OSW18">'[5]Oświetlenie'!#REF!</definedName>
    <definedName name="OSW19" localSheetId="0">'[5]Oświetlenie'!#REF!</definedName>
    <definedName name="OSW19" localSheetId="1">'[5]Oświetlenie'!#REF!</definedName>
    <definedName name="OSW19" localSheetId="3">'[5]Oświetlenie'!#REF!</definedName>
    <definedName name="OSW19" localSheetId="2">'[5]Oświetlenie'!#REF!</definedName>
    <definedName name="OSW19">'[5]Oświetlenie'!#REF!</definedName>
    <definedName name="OSW2" localSheetId="0">'[5]Oświetlenie'!#REF!</definedName>
    <definedName name="OSW2" localSheetId="1">'[5]Oświetlenie'!#REF!</definedName>
    <definedName name="OSW2" localSheetId="3">'[5]Oświetlenie'!#REF!</definedName>
    <definedName name="OSW2" localSheetId="2">'[5]Oświetlenie'!#REF!</definedName>
    <definedName name="OSW2">'[5]Oświetlenie'!#REF!</definedName>
    <definedName name="OSW20" localSheetId="0">'[5]Oświetlenie'!#REF!</definedName>
    <definedName name="OSW20" localSheetId="1">'[5]Oświetlenie'!#REF!</definedName>
    <definedName name="OSW20" localSheetId="3">'[5]Oświetlenie'!#REF!</definedName>
    <definedName name="OSW20" localSheetId="2">'[5]Oświetlenie'!#REF!</definedName>
    <definedName name="OSW20">'[5]Oświetlenie'!#REF!</definedName>
    <definedName name="OSW21" localSheetId="0">'[5]Oświetlenie'!#REF!</definedName>
    <definedName name="OSW21" localSheetId="1">'[5]Oświetlenie'!#REF!</definedName>
    <definedName name="OSW21" localSheetId="3">'[5]Oświetlenie'!#REF!</definedName>
    <definedName name="OSW21" localSheetId="2">'[5]Oświetlenie'!#REF!</definedName>
    <definedName name="OSW21">'[5]Oświetlenie'!#REF!</definedName>
    <definedName name="OSW22" localSheetId="0">'[5]Oświetlenie'!#REF!</definedName>
    <definedName name="OSW22" localSheetId="1">'[5]Oświetlenie'!#REF!</definedName>
    <definedName name="OSW22" localSheetId="3">'[5]Oświetlenie'!#REF!</definedName>
    <definedName name="OSW22" localSheetId="2">'[5]Oświetlenie'!#REF!</definedName>
    <definedName name="OSW22">'[5]Oświetlenie'!#REF!</definedName>
    <definedName name="OSW23" localSheetId="0">'[5]Oświetlenie'!#REF!</definedName>
    <definedName name="OSW23" localSheetId="1">'[5]Oświetlenie'!#REF!</definedName>
    <definedName name="OSW23" localSheetId="3">'[5]Oświetlenie'!#REF!</definedName>
    <definedName name="OSW23" localSheetId="2">'[5]Oświetlenie'!#REF!</definedName>
    <definedName name="OSW23">'[5]Oświetlenie'!#REF!</definedName>
    <definedName name="OSW24" localSheetId="0">'[5]Oświetlenie'!#REF!</definedName>
    <definedName name="OSW24" localSheetId="1">'[5]Oświetlenie'!#REF!</definedName>
    <definedName name="OSW24" localSheetId="3">'[5]Oświetlenie'!#REF!</definedName>
    <definedName name="OSW24" localSheetId="2">'[5]Oświetlenie'!#REF!</definedName>
    <definedName name="OSW24">'[5]Oświetlenie'!#REF!</definedName>
    <definedName name="OSW25" localSheetId="0">'[5]Oświetlenie'!#REF!</definedName>
    <definedName name="OSW25" localSheetId="1">'[5]Oświetlenie'!#REF!</definedName>
    <definedName name="OSW25" localSheetId="3">'[5]Oświetlenie'!#REF!</definedName>
    <definedName name="OSW25" localSheetId="2">'[5]Oświetlenie'!#REF!</definedName>
    <definedName name="OSW25">'[5]Oświetlenie'!#REF!</definedName>
    <definedName name="OSW26" localSheetId="0">'[5]Oświetlenie'!#REF!</definedName>
    <definedName name="OSW26" localSheetId="1">'[5]Oświetlenie'!#REF!</definedName>
    <definedName name="OSW26" localSheetId="3">'[5]Oświetlenie'!#REF!</definedName>
    <definedName name="OSW26" localSheetId="2">'[5]Oświetlenie'!#REF!</definedName>
    <definedName name="OSW26">'[5]Oświetlenie'!#REF!</definedName>
    <definedName name="OSW27" localSheetId="0">'[5]Oświetlenie'!#REF!</definedName>
    <definedName name="OSW27" localSheetId="1">'[5]Oświetlenie'!#REF!</definedName>
    <definedName name="OSW27" localSheetId="3">'[5]Oświetlenie'!#REF!</definedName>
    <definedName name="OSW27" localSheetId="2">'[5]Oświetlenie'!#REF!</definedName>
    <definedName name="OSW27">'[5]Oświetlenie'!#REF!</definedName>
    <definedName name="OSW28" localSheetId="0">'[5]Oświetlenie'!#REF!</definedName>
    <definedName name="OSW28" localSheetId="1">'[5]Oświetlenie'!#REF!</definedName>
    <definedName name="OSW28" localSheetId="3">'[5]Oświetlenie'!#REF!</definedName>
    <definedName name="OSW28" localSheetId="2">'[5]Oświetlenie'!#REF!</definedName>
    <definedName name="OSW28">'[5]Oświetlenie'!#REF!</definedName>
    <definedName name="OSW3">#REF!</definedName>
    <definedName name="OSW4" localSheetId="0">'[5]Oświetlenie'!#REF!</definedName>
    <definedName name="OSW4" localSheetId="1">'[5]Oświetlenie'!#REF!</definedName>
    <definedName name="OSW4" localSheetId="3">'[5]Oświetlenie'!#REF!</definedName>
    <definedName name="OSW4" localSheetId="2">'[5]Oświetlenie'!#REF!</definedName>
    <definedName name="OSW4">'[5]Oświetlenie'!#REF!</definedName>
    <definedName name="OSW5" localSheetId="0">'[5]Oświetlenie'!#REF!</definedName>
    <definedName name="OSW5" localSheetId="1">'[5]Oświetlenie'!#REF!</definedName>
    <definedName name="OSW5" localSheetId="3">'[5]Oświetlenie'!#REF!</definedName>
    <definedName name="OSW5" localSheetId="2">'[5]Oświetlenie'!#REF!</definedName>
    <definedName name="OSW5">'[5]Oświetlenie'!#REF!</definedName>
    <definedName name="OSW6" localSheetId="0">'[5]Oświetlenie'!#REF!</definedName>
    <definedName name="OSW6" localSheetId="1">'[5]Oświetlenie'!#REF!</definedName>
    <definedName name="OSW6" localSheetId="3">'[5]Oświetlenie'!#REF!</definedName>
    <definedName name="OSW6" localSheetId="2">'[5]Oświetlenie'!#REF!</definedName>
    <definedName name="OSW6">'[5]Oświetlenie'!#REF!</definedName>
    <definedName name="OSW7" localSheetId="0">'[5]Oświetlenie'!#REF!</definedName>
    <definedName name="OSW7" localSheetId="1">'[5]Oświetlenie'!#REF!</definedName>
    <definedName name="OSW7" localSheetId="3">'[5]Oświetlenie'!#REF!</definedName>
    <definedName name="OSW7" localSheetId="2">'[5]Oświetlenie'!#REF!</definedName>
    <definedName name="OSW7">'[5]Oświetlenie'!#REF!</definedName>
    <definedName name="OSW8" localSheetId="0">'[5]Oświetlenie'!#REF!</definedName>
    <definedName name="OSW8" localSheetId="1">'[5]Oświetlenie'!#REF!</definedName>
    <definedName name="OSW8" localSheetId="3">'[5]Oświetlenie'!#REF!</definedName>
    <definedName name="OSW8" localSheetId="2">'[5]Oświetlenie'!#REF!</definedName>
    <definedName name="OSW8">'[5]Oświetlenie'!#REF!</definedName>
    <definedName name="OSW9" localSheetId="0">'[5]Oświetlenie'!#REF!</definedName>
    <definedName name="OSW9" localSheetId="1">'[5]Oświetlenie'!#REF!</definedName>
    <definedName name="OSW9" localSheetId="3">'[5]Oświetlenie'!#REF!</definedName>
    <definedName name="OSW9" localSheetId="2">'[5]Oświetlenie'!#REF!</definedName>
    <definedName name="OSW9">'[5]Oświetlenie'!#REF!</definedName>
    <definedName name="PSG1">#REF!</definedName>
    <definedName name="PSG10" localSheetId="0">#REF!</definedName>
    <definedName name="PSG10" localSheetId="1">#REF!</definedName>
    <definedName name="PSG10" localSheetId="3">#REF!</definedName>
    <definedName name="PSG10" localSheetId="2">#REF!</definedName>
    <definedName name="PSG10">#REF!</definedName>
    <definedName name="PSG11" localSheetId="0">#REF!</definedName>
    <definedName name="PSG11" localSheetId="1">#REF!</definedName>
    <definedName name="PSG11" localSheetId="3">#REF!</definedName>
    <definedName name="PSG11" localSheetId="2">#REF!</definedName>
    <definedName name="PSG11">#REF!</definedName>
    <definedName name="PSG12" localSheetId="0">#REF!</definedName>
    <definedName name="PSG12" localSheetId="1">#REF!</definedName>
    <definedName name="PSG12" localSheetId="3">#REF!</definedName>
    <definedName name="PSG12" localSheetId="2">#REF!</definedName>
    <definedName name="PSG12">#REF!</definedName>
    <definedName name="PSG13" localSheetId="0">#REF!</definedName>
    <definedName name="PSG13" localSheetId="1">#REF!</definedName>
    <definedName name="PSG13" localSheetId="3">#REF!</definedName>
    <definedName name="PSG13" localSheetId="2">#REF!</definedName>
    <definedName name="PSG13">#REF!</definedName>
    <definedName name="PSG14" localSheetId="0">#REF!</definedName>
    <definedName name="PSG14" localSheetId="1">#REF!</definedName>
    <definedName name="PSG14" localSheetId="3">#REF!</definedName>
    <definedName name="PSG14" localSheetId="2">#REF!</definedName>
    <definedName name="PSG14">#REF!</definedName>
    <definedName name="PSG15" localSheetId="0">#REF!</definedName>
    <definedName name="PSG15" localSheetId="1">#REF!</definedName>
    <definedName name="PSG15" localSheetId="3">#REF!</definedName>
    <definedName name="PSG15" localSheetId="2">#REF!</definedName>
    <definedName name="PSG15">#REF!</definedName>
    <definedName name="PSG16" localSheetId="0">#REF!</definedName>
    <definedName name="PSG16" localSheetId="1">#REF!</definedName>
    <definedName name="PSG16" localSheetId="3">#REF!</definedName>
    <definedName name="PSG16" localSheetId="2">#REF!</definedName>
    <definedName name="PSG16">#REF!</definedName>
    <definedName name="PSG17" localSheetId="0">#REF!</definedName>
    <definedName name="PSG17" localSheetId="1">#REF!</definedName>
    <definedName name="PSG17" localSheetId="3">#REF!</definedName>
    <definedName name="PSG17" localSheetId="2">#REF!</definedName>
    <definedName name="PSG17">#REF!</definedName>
    <definedName name="PSG18" localSheetId="0">#REF!</definedName>
    <definedName name="PSG18" localSheetId="1">#REF!</definedName>
    <definedName name="PSG18" localSheetId="3">#REF!</definedName>
    <definedName name="PSG18" localSheetId="2">#REF!</definedName>
    <definedName name="PSG18">#REF!</definedName>
    <definedName name="PSG19" localSheetId="0">#REF!</definedName>
    <definedName name="PSG19" localSheetId="1">#REF!</definedName>
    <definedName name="PSG19" localSheetId="3">#REF!</definedName>
    <definedName name="PSG19" localSheetId="2">#REF!</definedName>
    <definedName name="PSG19">#REF!</definedName>
    <definedName name="PSG2" localSheetId="0">#REF!</definedName>
    <definedName name="PSG2" localSheetId="1">#REF!</definedName>
    <definedName name="PSG2" localSheetId="3">#REF!</definedName>
    <definedName name="PSG2" localSheetId="2">#REF!</definedName>
    <definedName name="PSG2">#REF!</definedName>
    <definedName name="PSG20" localSheetId="0">#REF!</definedName>
    <definedName name="PSG20" localSheetId="1">#REF!</definedName>
    <definedName name="PSG20" localSheetId="3">#REF!</definedName>
    <definedName name="PSG20" localSheetId="2">#REF!</definedName>
    <definedName name="PSG20">#REF!</definedName>
    <definedName name="PSG3" localSheetId="0">#REF!</definedName>
    <definedName name="PSG3" localSheetId="1">#REF!</definedName>
    <definedName name="PSG3" localSheetId="3">#REF!</definedName>
    <definedName name="PSG3" localSheetId="2">#REF!</definedName>
    <definedName name="PSG3">#REF!</definedName>
    <definedName name="PSG4" localSheetId="0">#REF!</definedName>
    <definedName name="PSG4" localSheetId="1">#REF!</definedName>
    <definedName name="PSG4" localSheetId="3">#REF!</definedName>
    <definedName name="PSG4" localSheetId="2">#REF!</definedName>
    <definedName name="PSG4">#REF!</definedName>
    <definedName name="PSG5" localSheetId="0">#REF!</definedName>
    <definedName name="PSG5" localSheetId="1">#REF!</definedName>
    <definedName name="PSG5" localSheetId="3">#REF!</definedName>
    <definedName name="PSG5" localSheetId="2">#REF!</definedName>
    <definedName name="PSG5">#REF!</definedName>
    <definedName name="PSG6" localSheetId="0">#REF!</definedName>
    <definedName name="PSG6" localSheetId="1">#REF!</definedName>
    <definedName name="PSG6" localSheetId="3">#REF!</definedName>
    <definedName name="PSG6" localSheetId="2">#REF!</definedName>
    <definedName name="PSG6">#REF!</definedName>
    <definedName name="PSG7" localSheetId="0">#REF!</definedName>
    <definedName name="PSG7" localSheetId="1">#REF!</definedName>
    <definedName name="PSG7" localSheetId="3">#REF!</definedName>
    <definedName name="PSG7" localSheetId="2">#REF!</definedName>
    <definedName name="PSG7">#REF!</definedName>
    <definedName name="PSG8" localSheetId="0">#REF!</definedName>
    <definedName name="PSG8" localSheetId="1">#REF!</definedName>
    <definedName name="PSG8" localSheetId="3">#REF!</definedName>
    <definedName name="PSG8" localSheetId="2">#REF!</definedName>
    <definedName name="PSG8">#REF!</definedName>
    <definedName name="PSG9" localSheetId="0">#REF!</definedName>
    <definedName name="PSG9" localSheetId="1">#REF!</definedName>
    <definedName name="PSG9" localSheetId="3">#REF!</definedName>
    <definedName name="PSG9" localSheetId="2">#REF!</definedName>
    <definedName name="PSG9">#REF!</definedName>
    <definedName name="Santok_Obiekty" localSheetId="0">'[2]SIWZ_OBIEKTY'!#REF!</definedName>
    <definedName name="Santok_Obiekty" localSheetId="1">'[2]SIWZ_OBIEKTY'!#REF!</definedName>
    <definedName name="Santok_Obiekty" localSheetId="3">'[2]SIWZ_OBIEKTY'!#REF!</definedName>
    <definedName name="Santok_Obiekty" localSheetId="2">'[2]SIWZ_OBIEKTY'!#REF!</definedName>
    <definedName name="Santok_Obiekty">'[2]SIWZ_OBIEKTY'!#REF!</definedName>
    <definedName name="Santok_Oświetlenie" localSheetId="0">'[2]SIWZ_OŚWIETLENIE'!#REF!</definedName>
    <definedName name="Santok_Oświetlenie" localSheetId="1">'[2]SIWZ_OŚWIETLENIE'!#REF!</definedName>
    <definedName name="Santok_Oświetlenie" localSheetId="3">'[2]SIWZ_OŚWIETLENIE'!#REF!</definedName>
    <definedName name="Santok_Oświetlenie" localSheetId="2">'[2]SIWZ_OŚWIETLENIE'!#REF!</definedName>
    <definedName name="Santok_Oświetlenie">'[2]SIWZ_OŚWIETLENIE'!#REF!</definedName>
    <definedName name="SkrwilnoObiekty" localSheetId="0">'[8]DANE SIWZ_OBIEKTY'!#REF!</definedName>
    <definedName name="SkrwilnoObiekty" localSheetId="1">'[8]DANE SIWZ_OBIEKTY'!#REF!</definedName>
    <definedName name="SkrwilnoObiekty" localSheetId="3">'[8]DANE SIWZ_OBIEKTY'!#REF!</definedName>
    <definedName name="SkrwilnoObiekty" localSheetId="2">'[8]DANE SIWZ_OBIEKTY'!#REF!</definedName>
    <definedName name="SkrwilnoObiekty">'[8]DANE SIWZ_OBIEKTY'!#REF!</definedName>
    <definedName name="Słońsk_Obiekty" localSheetId="0">'[2]SIWZ_OBIEKTY'!#REF!</definedName>
    <definedName name="Słońsk_Obiekty" localSheetId="1">'[2]SIWZ_OBIEKTY'!#REF!</definedName>
    <definedName name="Słońsk_Obiekty" localSheetId="3">'[2]SIWZ_OBIEKTY'!#REF!</definedName>
    <definedName name="Słońsk_Obiekty" localSheetId="2">'[2]SIWZ_OBIEKTY'!#REF!</definedName>
    <definedName name="Słońsk_Obiekty">'[2]SIWZ_OBIEKTY'!#REF!</definedName>
    <definedName name="Słońsk_Oświetlenie" localSheetId="0">'[2]SIWZ_OŚWIETLENIE'!#REF!</definedName>
    <definedName name="Słońsk_Oświetlenie" localSheetId="1">'[2]SIWZ_OŚWIETLENIE'!#REF!</definedName>
    <definedName name="Słońsk_Oświetlenie" localSheetId="3">'[2]SIWZ_OŚWIETLENIE'!#REF!</definedName>
    <definedName name="Słońsk_Oświetlenie" localSheetId="2">'[2]SIWZ_OŚWIETLENIE'!#REF!</definedName>
    <definedName name="Słońsk_Oświetlenie">'[2]SIWZ_OŚWIETLENIE'!#REF!</definedName>
    <definedName name="Strzelce_Krajeńskie_Obiekty" localSheetId="0">'[2]SIWZ_OBIEKTY'!#REF!</definedName>
    <definedName name="Strzelce_Krajeńskie_Obiekty" localSheetId="1">'[2]SIWZ_OBIEKTY'!#REF!</definedName>
    <definedName name="Strzelce_Krajeńskie_Obiekty" localSheetId="3">'[2]SIWZ_OBIEKTY'!#REF!</definedName>
    <definedName name="Strzelce_Krajeńskie_Obiekty" localSheetId="2">'[2]SIWZ_OBIEKTY'!#REF!</definedName>
    <definedName name="Strzelce_Krajeńskie_Obiekty">'[2]SIWZ_OBIEKTY'!#REF!</definedName>
    <definedName name="Strzelce_Krajeńskie_Oświetlenie" localSheetId="0">'[2]SIWZ_OŚWIETLENIE'!#REF!</definedName>
    <definedName name="Strzelce_Krajeńskie_Oświetlenie" localSheetId="1">'[2]SIWZ_OŚWIETLENIE'!#REF!</definedName>
    <definedName name="Strzelce_Krajeńskie_Oświetlenie" localSheetId="3">'[2]SIWZ_OŚWIETLENIE'!#REF!</definedName>
    <definedName name="Strzelce_Krajeńskie_Oświetlenie" localSheetId="2">'[2]SIWZ_OŚWIETLENIE'!#REF!</definedName>
    <definedName name="Strzelce_Krajeńskie_Oświetlenie">'[2]SIWZ_OŚWIETLENIE'!#REF!</definedName>
    <definedName name="Sulęcin_Obiekty" localSheetId="0">'[2]SIWZ_OBIEKTY'!#REF!</definedName>
    <definedName name="Sulęcin_Obiekty" localSheetId="1">'[2]SIWZ_OBIEKTY'!#REF!</definedName>
    <definedName name="Sulęcin_Obiekty" localSheetId="3">'[2]SIWZ_OBIEKTY'!#REF!</definedName>
    <definedName name="Sulęcin_Obiekty" localSheetId="2">'[2]SIWZ_OBIEKTY'!#REF!</definedName>
    <definedName name="Sulęcin_Obiekty">'[2]SIWZ_OBIEKTY'!#REF!</definedName>
    <definedName name="Torzym_Obiekty" localSheetId="0">'[2]SIWZ_OBIEKTY'!#REF!</definedName>
    <definedName name="Torzym_Obiekty" localSheetId="1">'[2]SIWZ_OBIEKTY'!#REF!</definedName>
    <definedName name="Torzym_Obiekty" localSheetId="3">'[2]SIWZ_OBIEKTY'!#REF!</definedName>
    <definedName name="Torzym_Obiekty" localSheetId="2">'[2]SIWZ_OBIEKTY'!#REF!</definedName>
    <definedName name="Torzym_Obiekty">'[2]SIWZ_OBIEKTY'!#REF!</definedName>
    <definedName name="Torzym_Oświetlenie" localSheetId="0">'[2]SIWZ_OŚWIETLENIE'!#REF!</definedName>
    <definedName name="Torzym_Oświetlenie" localSheetId="1">'[2]SIWZ_OŚWIETLENIE'!#REF!</definedName>
    <definedName name="Torzym_Oświetlenie" localSheetId="3">'[2]SIWZ_OŚWIETLENIE'!#REF!</definedName>
    <definedName name="Torzym_Oświetlenie" localSheetId="2">'[2]SIWZ_OŚWIETLENIE'!#REF!</definedName>
    <definedName name="Torzym_Oświetlenie">'[2]SIWZ_OŚWIETLENIE'!#REF!</definedName>
    <definedName name="ZAM01">#REF!</definedName>
    <definedName name="ZAM02">#REF!</definedName>
    <definedName name="ZAM03">#REF!</definedName>
    <definedName name="ZAM04">#REF!</definedName>
    <definedName name="ZAM05">#REF!</definedName>
    <definedName name="ZAM06">#REF!</definedName>
    <definedName name="ZAM07" localSheetId="0">#REF!</definedName>
    <definedName name="ZAM07" localSheetId="1">#REF!</definedName>
    <definedName name="ZAM07" localSheetId="3">#REF!</definedName>
    <definedName name="ZAM07" localSheetId="2">#REF!</definedName>
    <definedName name="ZAM07">#REF!</definedName>
    <definedName name="ZAM08" localSheetId="0">#REF!</definedName>
    <definedName name="ZAM08" localSheetId="1">#REF!</definedName>
    <definedName name="ZAM08" localSheetId="3">#REF!</definedName>
    <definedName name="ZAM08" localSheetId="2">#REF!</definedName>
    <definedName name="ZAM08">#REF!</definedName>
    <definedName name="ZAM09">#REF!</definedName>
    <definedName name="ZAM10" localSheetId="0">'[10]Dane szczegółowe 24'!#REF!</definedName>
    <definedName name="ZAM10" localSheetId="1">'[10]Dane szczegółowe 24'!#REF!</definedName>
    <definedName name="ZAM10" localSheetId="3">'[10]Dane szczegółowe 24'!#REF!</definedName>
    <definedName name="ZAM10" localSheetId="2">'[10]Dane szczegółowe 24'!#REF!</definedName>
    <definedName name="ZAM10">#REF!</definedName>
    <definedName name="ZAM11">#REF!</definedName>
    <definedName name="ZAM12">#REF!</definedName>
    <definedName name="ZAM13">#REF!</definedName>
    <definedName name="ZAM14">#REF!</definedName>
    <definedName name="ZAM15" localSheetId="0">#REF!</definedName>
    <definedName name="ZAM15" localSheetId="1">#REF!</definedName>
    <definedName name="ZAM15" localSheetId="3">#REF!</definedName>
    <definedName name="ZAM15" localSheetId="2">#REF!</definedName>
    <definedName name="ZAM15">#REF!</definedName>
    <definedName name="ZAM16">#REF!</definedName>
    <definedName name="ZAM17">#REF!</definedName>
    <definedName name="ZAM18">#REF!</definedName>
    <definedName name="ZAM19">#REF!</definedName>
    <definedName name="ZAM19A">#REF!</definedName>
    <definedName name="ZAM20">#REF!</definedName>
    <definedName name="ZAM21">#REF!</definedName>
    <definedName name="ZAM22">#REF!</definedName>
    <definedName name="ZAM23">#REF!</definedName>
    <definedName name="ZAM24">#REF!</definedName>
    <definedName name="ZAM25">#REF!</definedName>
    <definedName name="ZAM4" localSheetId="0">'[9]Dane szczegółowe'!#REF!</definedName>
    <definedName name="ZAM4" localSheetId="1">'[9]Dane szczegółowe'!#REF!</definedName>
    <definedName name="ZAM4" localSheetId="3">'[9]Dane szczegółowe'!#REF!</definedName>
    <definedName name="ZAM4" localSheetId="2">'[9]Dane szczegółowe'!#REF!</definedName>
    <definedName name="ZAM4">'[9]Dane szczegółowe'!#REF!</definedName>
    <definedName name="ZEC_Międzyrzecz_Obiekty" localSheetId="0">'[2]SIWZ_OBIEKTY'!#REF!</definedName>
    <definedName name="ZEC_Międzyrzecz_Obiekty" localSheetId="1">'[2]SIWZ_OBIEKTY'!#REF!</definedName>
    <definedName name="ZEC_Międzyrzecz_Obiekty" localSheetId="3">'[2]SIWZ_OBIEKTY'!#REF!</definedName>
    <definedName name="ZEC_Międzyrzecz_Obiekty" localSheetId="2">'[2]SIWZ_OBIEKTY'!#REF!</definedName>
    <definedName name="ZEC_Międzyrzecz_Obiekty">'[2]SIWZ_OBIEKTY'!#REF!</definedName>
    <definedName name="ZEC_Skwierzyna_Obiekty" localSheetId="0">'[2]SIWZ_OBIEKTY'!#REF!</definedName>
    <definedName name="ZEC_Skwierzyna_Obiekty" localSheetId="1">'[2]SIWZ_OBIEKTY'!#REF!</definedName>
    <definedName name="ZEC_Skwierzyna_Obiekty" localSheetId="3">'[2]SIWZ_OBIEKTY'!#REF!</definedName>
    <definedName name="ZEC_Skwierzyna_Obiekty" localSheetId="2">'[2]SIWZ_OBIEKTY'!#REF!</definedName>
    <definedName name="ZEC_Skwierzyna_Obiekty">'[2]SIWZ_OBIEKTY'!#REF!</definedName>
    <definedName name="ZGK_Skwierzyna_Obiekty" localSheetId="0">'[2]SIWZ_OBIEKTY'!#REF!</definedName>
    <definedName name="ZGK_Skwierzyna_Obiekty" localSheetId="1">'[2]SIWZ_OBIEKTY'!#REF!</definedName>
    <definedName name="ZGK_Skwierzyna_Obiekty" localSheetId="3">'[2]SIWZ_OBIEKTY'!#REF!</definedName>
    <definedName name="ZGK_Skwierzyna_Obiekty" localSheetId="2">'[2]SIWZ_OBIEKTY'!#REF!</definedName>
    <definedName name="ZGK_Skwierzyna_Obiekty">'[2]SIWZ_OBIEKTY'!#REF!</definedName>
    <definedName name="ZGM_Gorzów_Obiekt" localSheetId="0">'[2]SIWZ_OBIEKTY'!#REF!</definedName>
    <definedName name="ZGM_Gorzów_Obiekt" localSheetId="1">'[2]SIWZ_OBIEKTY'!#REF!</definedName>
    <definedName name="ZGM_Gorzów_Obiekt" localSheetId="3">'[2]SIWZ_OBIEKTY'!#REF!</definedName>
    <definedName name="ZGM_Gorzów_Obiekt" localSheetId="2">'[2]SIWZ_OBIEKTY'!#REF!</definedName>
    <definedName name="ZGM_Gorzów_Obiekt">'[2]SIWZ_OBIEKTY'!#REF!</definedName>
    <definedName name="ZUO_Gorzów_Obiekty" localSheetId="0">'[2]SIWZ_OBIEKTY'!#REF!</definedName>
    <definedName name="ZUO_Gorzów_Obiekty" localSheetId="1">'[2]SIWZ_OBIEKTY'!#REF!</definedName>
    <definedName name="ZUO_Gorzów_Obiekty" localSheetId="3">'[2]SIWZ_OBIEKTY'!#REF!</definedName>
    <definedName name="ZUO_Gorzów_Obiekty" localSheetId="2">'[2]SIWZ_OBIEKTY'!#REF!</definedName>
    <definedName name="ZUO_Gorzów_Obiekty">'[2]SIWZ_OBIEKTY'!#REF!</definedName>
  </definedNames>
  <calcPr fullCalcOnLoad="1"/>
</workbook>
</file>

<file path=xl/sharedStrings.xml><?xml version="1.0" encoding="utf-8"?>
<sst xmlns="http://schemas.openxmlformats.org/spreadsheetml/2006/main" count="1274" uniqueCount="273">
  <si>
    <t>kWh</t>
  </si>
  <si>
    <t>Opis - składniki opłat</t>
  </si>
  <si>
    <t>Wartość netto [zł]</t>
  </si>
  <si>
    <t>5 = 3 x 4</t>
  </si>
  <si>
    <t>Sprzedaż</t>
  </si>
  <si>
    <t>(Cj1)</t>
  </si>
  <si>
    <t>gr/kWh</t>
  </si>
  <si>
    <t>(Zc2)</t>
  </si>
  <si>
    <t>(Cj2)</t>
  </si>
  <si>
    <t>(Zc3)</t>
  </si>
  <si>
    <t>(Cj3)</t>
  </si>
  <si>
    <t>(Zc4)</t>
  </si>
  <si>
    <t>(Cj4)</t>
  </si>
  <si>
    <t>Opłata abonamentowa dla wolumenu podlegającego ochronie</t>
  </si>
  <si>
    <t>Grupa taryfowa W-1.1</t>
  </si>
  <si>
    <t>(Za1)</t>
  </si>
  <si>
    <t>m-c</t>
  </si>
  <si>
    <t>(Ca1)</t>
  </si>
  <si>
    <t>zł/m-c</t>
  </si>
  <si>
    <t>Grupa taryfowa W-2.1</t>
  </si>
  <si>
    <t>(Za2)</t>
  </si>
  <si>
    <t>(Ca2)</t>
  </si>
  <si>
    <t>Grupa taryfowa W-3.6</t>
  </si>
  <si>
    <t>(Za3)</t>
  </si>
  <si>
    <t>(Ca3)</t>
  </si>
  <si>
    <t>Grupa taryfowa W-3.9</t>
  </si>
  <si>
    <t>(Za4)</t>
  </si>
  <si>
    <t>(Ca4)</t>
  </si>
  <si>
    <t>Grupa taryfowa W-4</t>
  </si>
  <si>
    <t>(Za5)</t>
  </si>
  <si>
    <t>(Ca5)</t>
  </si>
  <si>
    <t>Grupa taryfowa W-5.1</t>
  </si>
  <si>
    <t>(Za6)</t>
  </si>
  <si>
    <t>(Ca6)</t>
  </si>
  <si>
    <t>(Za7)</t>
  </si>
  <si>
    <t>Opłata abonamentowa dla wolumenu niepodlegającego ochronie</t>
  </si>
  <si>
    <t>(Za8)</t>
  </si>
  <si>
    <t>(Ca8)</t>
  </si>
  <si>
    <t>(Za9)</t>
  </si>
  <si>
    <t>(Ca9)</t>
  </si>
  <si>
    <t>(Za10)</t>
  </si>
  <si>
    <t>(Ca10)</t>
  </si>
  <si>
    <t>(Za11)</t>
  </si>
  <si>
    <t>(Ca11)</t>
  </si>
  <si>
    <t>bez akcyzy</t>
  </si>
  <si>
    <t>(Zc5)</t>
  </si>
  <si>
    <t>(Cj5)</t>
  </si>
  <si>
    <t>zawierająca akcyzę w wysokości 0,390 gr/kWh</t>
  </si>
  <si>
    <t>(Zc6)</t>
  </si>
  <si>
    <t>(Cj6)</t>
  </si>
  <si>
    <t>Grupa taryfowa dystrybucyjna W-1.1</t>
  </si>
  <si>
    <t>Opłata stała</t>
  </si>
  <si>
    <t>dla punktów podlegajacych ochronie</t>
  </si>
  <si>
    <t>Opłata zmienna</t>
  </si>
  <si>
    <t>dla pozostałych punktów</t>
  </si>
  <si>
    <t>"mieszanych" 50% wolumenu podlega ochronie, 50% nie</t>
  </si>
  <si>
    <t>Grupa taryfowa dystrybucyjna W-2.1</t>
  </si>
  <si>
    <t>Grupa taryfowa dystrybucyjna W-3.6</t>
  </si>
  <si>
    <t>Grupa taryfowa dystrybucyjna W-3.9</t>
  </si>
  <si>
    <t>Grupa taryfowa dystrybucyjna W-4</t>
  </si>
  <si>
    <t>"mieszanych" 40,00% wolumenu podlega ochronie, 60,00% nie</t>
  </si>
  <si>
    <t>Grupa taryfowa dystrybucyjna W-5.1</t>
  </si>
  <si>
    <t>(kWh/h) za h</t>
  </si>
  <si>
    <t>gr/(kWh/h) za h</t>
  </si>
  <si>
    <t>Dystrybucja Gdańsk</t>
  </si>
  <si>
    <t>Dystrybucja Gdańsk dla punktów</t>
  </si>
  <si>
    <t>"mieszanych" 95% wolumenu podlega ochronie, 5% nie</t>
  </si>
  <si>
    <t>(0,95*10,28+0,05*12,47)*12</t>
  </si>
  <si>
    <t>(0,95*4,225+0,05*5,127)*13 714</t>
  </si>
  <si>
    <t>"mieszanych" 64,57% wolumenu podlega ochronie, 35,43% nie</t>
  </si>
  <si>
    <t>(0,6457*10,28+0,3543*12,47)*12</t>
  </si>
  <si>
    <t>(0,6457*4,225+0,3543*5,127)*64 809</t>
  </si>
  <si>
    <t>"mieszanych" 98% wolumenu podlega ochronie, 2% nie</t>
  </si>
  <si>
    <t>(0,98*34,8+0,02*42,23)*12*6</t>
  </si>
  <si>
    <t>(0,98*3,642+0,02*4,419)*226 360</t>
  </si>
  <si>
    <t>"mieszanych" 97,59% wolumenu podlega ochronie, 2,41% nie</t>
  </si>
  <si>
    <t>"mieszanych" 90% wolumenu podlega ochronie, 10% nie</t>
  </si>
  <si>
    <t>(0,90*34,8+0,10*42,23)*12</t>
  </si>
  <si>
    <t>(0,90*3,642+0,10*4,419)*28 648</t>
  </si>
  <si>
    <t>"mieszanych" 88,38% wolumenu podlega ochronie, 11,62% nie</t>
  </si>
  <si>
    <t>(0,8838*34,8+0,1162*42,23)*12</t>
  </si>
  <si>
    <t>"mieszanych" 80,24% wolumenu podlega ochronie, 19,76% nie</t>
  </si>
  <si>
    <t>(0,8024*34,8+0,1976*42,23)*12</t>
  </si>
  <si>
    <t>(0,8024*3,642+0,1976*4,419)*66 439</t>
  </si>
  <si>
    <t>(0,8838*3,642+0,1162*4,419)*41 153</t>
  </si>
  <si>
    <t>"mieszanych" 70% wolumenu podlega ochronie, 30% nie</t>
  </si>
  <si>
    <t>(0,70*34,8+0,30*42,23)*12</t>
  </si>
  <si>
    <t>(0,70*3,642+0,30*4,419)*36 685</t>
  </si>
  <si>
    <t>"mieszanych" 67,49% wolumenu podlega ochronie, 32,51% nie</t>
  </si>
  <si>
    <t>(0,6749*34,8+0,3251*42,23)*12</t>
  </si>
  <si>
    <t>(0,6749*3,642+0,3251*4,419)*41 040</t>
  </si>
  <si>
    <t>"mieszanych" 31,47% wolumenu podlega ochronie, 68,53% nie</t>
  </si>
  <si>
    <t>(0,3147*34,8+0,6853*42,23)*12</t>
  </si>
  <si>
    <t>(0,3147*3,642+0,6853*4,419)*116 611</t>
  </si>
  <si>
    <t>"mieszanych" 60,58% wolumenu podlega ochronie, 39,42% nie</t>
  </si>
  <si>
    <t>(0,6058*36,44+0,3942*44,22)*12</t>
  </si>
  <si>
    <t>(0,6058*3,642+0,3942*4,419)*83 095</t>
  </si>
  <si>
    <t>"mieszanych"80,00% wolumenu podlega ochronie, 20,00% nie</t>
  </si>
  <si>
    <t>(0,80*187,54+0,20*227,58)*12</t>
  </si>
  <si>
    <t>(0,80*3,457+0,20*4,195)*137 530</t>
  </si>
  <si>
    <t>"mieszanych" 77,57% wolumenu podlega ochronie, 22,43% nie</t>
  </si>
  <si>
    <t>(0,7757*187,54+0,2243*227,58)*12</t>
  </si>
  <si>
    <t>(0,7757*3,457+0,2243*4,195)*101 826</t>
  </si>
  <si>
    <t>"mieszanych" 60,00% wolumenu podlega ochronie, 40,00% nie</t>
  </si>
  <si>
    <t>(0,60*187,54+0,40*227,58)*12</t>
  </si>
  <si>
    <t>(0,60*3,457+0,40*4,195)*253 573</t>
  </si>
  <si>
    <t>"mieszanych" 50,00% wolumenu podlega ochronie, 50,00% nie</t>
  </si>
  <si>
    <t>(0,50*187,54+0,50*227,58)*12</t>
  </si>
  <si>
    <t>(0,50*3,457+0,50*4,195)*114 616</t>
  </si>
  <si>
    <t>"mieszanych" 23,00% wolumenu podlega ochronie, 77,00% nie</t>
  </si>
  <si>
    <t>(0,23*187,54+0,77*227,58)*12</t>
  </si>
  <si>
    <t>(0,23*3,457+0,77*4,195)*118 961</t>
  </si>
  <si>
    <t>"mieszanych" 99,30% wolumenu podlega ochronie, 0,70% nie</t>
  </si>
  <si>
    <t>(363*24*252*0,565)+(3*24*252*0,686)</t>
  </si>
  <si>
    <t>"mieszanych" 99,00% wolumenu podlega ochronie, 1,00 % nie</t>
  </si>
  <si>
    <t>(362*24*823*0,565)+(4*24*823*0,686)</t>
  </si>
  <si>
    <t>(0,99*2,416+0,01*2,932)*461 211</t>
  </si>
  <si>
    <t>"mieszanych" 97,83% wolumenu podlega ochronie, 2,17% nie</t>
  </si>
  <si>
    <t>(358*24*318*0,565)+(8*24*318*0,686)</t>
  </si>
  <si>
    <t>"mieszanych" 97,45% wolumenu podlega ochronie, 2,55% nie</t>
  </si>
  <si>
    <t>(357*24*274*0,565)+(9*24*274*0,686)</t>
  </si>
  <si>
    <t>(0,9783*2,416+0,0217*2,932)*318 870</t>
  </si>
  <si>
    <t>(0,9745*2,416+0,0255*2,932)*363 034</t>
  </si>
  <si>
    <t>"mieszanych" 97,00% wolumenu podlega ochronie, 3,00% nie</t>
  </si>
  <si>
    <t>"mieszanych" 96,08% wolumenu podlega ochronie, 3,92% nie</t>
  </si>
  <si>
    <t>(352*24*318*0,565)+(14*24*318*0,686)</t>
  </si>
  <si>
    <t>(0,9608*2,416+0,0392*2,932)*369 691</t>
  </si>
  <si>
    <t>"mieszanych" 95,00% wolumenu podlega ochronie, 5,00% nie</t>
  </si>
  <si>
    <t>(348*24*493*0,565)+(18*24*493*0,686)</t>
  </si>
  <si>
    <t>(0,95*2,416+0,05*2,932)*1 120 550</t>
  </si>
  <si>
    <t>"mieszanych" 94,20% wolumenu podlega ochronie, 5,80% nie</t>
  </si>
  <si>
    <t>(345*24*187*0,565)+(21*24*187*0,686)</t>
  </si>
  <si>
    <t>(0,9420*2,416+0,0580*2,932)*303 115</t>
  </si>
  <si>
    <t>"mieszanych" 93,74% wolumenu podlega ochronie, 6,26% nie</t>
  </si>
  <si>
    <t>(343*24*111*0,565)+(23*24*111*0,686)</t>
  </si>
  <si>
    <t>(0,9374*2,416+0,0626*2,932)*145 304</t>
  </si>
  <si>
    <t>"mieszanych" 93,71% wolumenu podlega ochronie, 6,29% nie</t>
  </si>
  <si>
    <t>(343*24*274*0,565)+(23*24*274*0,686)</t>
  </si>
  <si>
    <t>(0,9371*2,416+0,0629*2,932)*326 849</t>
  </si>
  <si>
    <t>"mieszanych" 92,41% wolumenu podlega ochronie, 7,59% nie</t>
  </si>
  <si>
    <t>(338*24*230*0,565)+(28*24*230*0,686)</t>
  </si>
  <si>
    <t>(0,9241*2,416+0,0759*2,932)*303 719</t>
  </si>
  <si>
    <t>"mieszanych" 91,52% wolumenu podlega ochronie, 8,48% nie</t>
  </si>
  <si>
    <t>(335*24*549*0,565)+(31*24*549*0,686)</t>
  </si>
  <si>
    <t>(0,9152*2,416+0,0848*2,932)*971 565</t>
  </si>
  <si>
    <t>"mieszanych" 91,25% wolumenu podlega ochronie, 8,75% nie</t>
  </si>
  <si>
    <t>(334*24*340*0,565)+(32*24*340*0,686)</t>
  </si>
  <si>
    <t>(0,9125*2,416+0,0875*2,932)*493 916</t>
  </si>
  <si>
    <t>"mieszanych" 90,00% wolumenu podlega ochronie, 10,00% nie</t>
  </si>
  <si>
    <t>(329*24*1052*0,565)+(37*24*1052*0,686)</t>
  </si>
  <si>
    <t>(0,90*2,416+0,10*2,932)*2 347 577</t>
  </si>
  <si>
    <t>"mieszanych" 75,00% wolumenu podlega ochronie, 25,00% nie</t>
  </si>
  <si>
    <t>(275*24*274*0,565)+(91*24*274*0,686)</t>
  </si>
  <si>
    <t>(0,75*2,416+0,25*2,932)*212 404</t>
  </si>
  <si>
    <t>(183*24*550*0,565)+(183*24*550*0,686)</t>
  </si>
  <si>
    <t>(0,50*2,416+0,50*2,932)*738 801</t>
  </si>
  <si>
    <t>"mieszanych" 43,71% wolumenu podlega ochronie, 56,29% nie</t>
  </si>
  <si>
    <t>(160*24*197*0,565)+(206*24*197*0,686)</t>
  </si>
  <si>
    <t>(0,4371*2,416+0,5629*2,932)*243 651</t>
  </si>
  <si>
    <t>(146*24*122*0,565)+(220*24*122*0,686)</t>
  </si>
  <si>
    <t>(0,40*2,416+0,60*2,932)*5 098 650</t>
  </si>
  <si>
    <t>"mieszanych" 5,50% wolumenu podlega ochronie, 94,50% nie</t>
  </si>
  <si>
    <t>(20*24*384*0,565)+(346*24*384*0,686)</t>
  </si>
  <si>
    <t>(0,05*2,416+0,95*2,932)*357 459</t>
  </si>
  <si>
    <t>(0,9930*2,416+0,007*2,932)*331 639</t>
  </si>
  <si>
    <t>(0,9759*34,8+0,0241*42,23)*12</t>
  </si>
  <si>
    <t>(0,9759*3,642+0,0241*4,419)*40 835</t>
  </si>
  <si>
    <t>(0,95*4,225+0,05*5,127)*13 680</t>
  </si>
  <si>
    <t>(0,6457*4,225+0,3543*5,127)*64 627</t>
  </si>
  <si>
    <t>(0,98*3,642+0,02*4,419)*225 173</t>
  </si>
  <si>
    <t>(0,9759*3,642+0,0241*4,419)*40 710</t>
  </si>
  <si>
    <t>(0,90*3,642+0,10*4,419)*28 500</t>
  </si>
  <si>
    <t>(0,8838*3,642+0,1162*4,419)*40 948</t>
  </si>
  <si>
    <t>(0,8024*3,642+0,1976*4,419)*66 052</t>
  </si>
  <si>
    <t>(0,70*3,642+0,30*4,419)*36 457</t>
  </si>
  <si>
    <t>(0,6749*3,642+0,3251*4,419)*40 824</t>
  </si>
  <si>
    <t>(0,3147*3,642+0,6853*4,419)*115 995</t>
  </si>
  <si>
    <t>(0,6058*3,642+0,3942*4,419)*82 650</t>
  </si>
  <si>
    <t>(0,80*3,457+0,20*4,195)*136 800</t>
  </si>
  <si>
    <t>(0,7757*3,457+0,2243*4,195)*101 050</t>
  </si>
  <si>
    <t>(0,60*3,457+0,40*4,195)*252 456</t>
  </si>
  <si>
    <t>(0,50*3,457+0,50*4,195)*114 000</t>
  </si>
  <si>
    <t>(0,23*3,457+0,77*4,195)*118 425</t>
  </si>
  <si>
    <t>(0,9930*2,416+0,007*2,932)*329 609</t>
  </si>
  <si>
    <t>(362*24*252*0,565)+(3*24*252*0,686)</t>
  </si>
  <si>
    <t>(361*24*823*0,565)+(4*24*823*0,686)</t>
  </si>
  <si>
    <t>(0,99*2,416+0,01*2,932)*458 475</t>
  </si>
  <si>
    <t>(357*24*318*0,565)+(8*24*318*0,686)</t>
  </si>
  <si>
    <t>(0,9783*2,416+0,0217*2,932)*317 194</t>
  </si>
  <si>
    <t>(356*24*274*0,565)+(9*24*274*0,686)</t>
  </si>
  <si>
    <t>(0,9745*2,416+0,0255*2,932)*363 970</t>
  </si>
  <si>
    <t>(351*24*318*0,565)+(14*24*318*0,686)</t>
  </si>
  <si>
    <t>(0,9608*2,416+0,0392*2,932)*367 308</t>
  </si>
  <si>
    <t>(347*24*493*0,565)+(18*24*493*0,686)</t>
  </si>
  <si>
    <t>(0,95*2,416+0,05*2,932)*1 114 748</t>
  </si>
  <si>
    <t>(344*24*187*0,565)+(21*24*187*0,686)</t>
  </si>
  <si>
    <t>(0,9420*2,416+0,0580*2,932)*301 507</t>
  </si>
  <si>
    <t>(342*24*111*0,565)+(23*24*111*0,686)</t>
  </si>
  <si>
    <t>(0,9374*2,416+0,0626*2,932)*144 324</t>
  </si>
  <si>
    <t>(342*24*274*0,565)+(23*24*274*0,686)</t>
  </si>
  <si>
    <t>(0,9371*2,416+0,0629*2,932)*325 162</t>
  </si>
  <si>
    <t>(337*24*230*0,565)+(28*24*230*0,686)</t>
  </si>
  <si>
    <t>(0,9241*2,416+0,0759*2,932)*302 100</t>
  </si>
  <si>
    <t>(334*24*549*0,565)+(31*24*549*0,686)</t>
  </si>
  <si>
    <t>(0,9152*2,416+0,0848*2,932)*967 290</t>
  </si>
  <si>
    <t>(333*24*340*0,565)+(32*24*340*0,686)</t>
  </si>
  <si>
    <t>(0,9125*2,416+0,0875*2,932)*491 408</t>
  </si>
  <si>
    <t>(329*24*1052*0,565)+(36*24*1052*0,686)</t>
  </si>
  <si>
    <t>(0,90*2,416+0,10*2,932)*2 336 987</t>
  </si>
  <si>
    <t>(274*24*274*0,565)+(91*24*274*0,686)</t>
  </si>
  <si>
    <t>(0,75*2,416+0,25*2,932)*211 435</t>
  </si>
  <si>
    <t>(183*24*550*0,565)+(182*24*550*0,686)</t>
  </si>
  <si>
    <t>(0,50*2,416+0,50*2,932)*734 869</t>
  </si>
  <si>
    <t>(160*24*197*0,565)+(205*24*197*0,686)</t>
  </si>
  <si>
    <t>(0,4371*2,416+0,5629*2,932)*242 317</t>
  </si>
  <si>
    <t>(146*24*122*0,565)+(219*24*122*0,686)</t>
  </si>
  <si>
    <t>(0,40*2,416+0,60*2,932)*5 073 000</t>
  </si>
  <si>
    <t>(20*24*384*0,565)+(345*24*384*0,686)</t>
  </si>
  <si>
    <t>(0,05*2,416+0,95*2,932)*355 498</t>
  </si>
  <si>
    <t>(355*24*297*0,565)+(11*24*297*0,686)</t>
  </si>
  <si>
    <t>(0,97*2,416+0,03*2,932)*554 268</t>
  </si>
  <si>
    <t>(354*24*297*0,565)+(11*24*297*0,686)</t>
  </si>
  <si>
    <t>(0,97*2,416+0,03*2,932)*551 532</t>
  </si>
  <si>
    <t>Grupa taryfowa dystrybucyjna W-6A.1</t>
  </si>
  <si>
    <t>Grupa taryfowa dystrybucyjna W-7A.1</t>
  </si>
  <si>
    <t>Grupa taryfowa W-7A.1</t>
  </si>
  <si>
    <t>Grupa taryfowa W-6A.1</t>
  </si>
  <si>
    <t>(0,9933*2,405+0,0067*2,918)*12 396 212</t>
  </si>
  <si>
    <t>"mieszanych"80,34% wolumenu podlega ochronie, 19,66% nie</t>
  </si>
  <si>
    <t>(146*24*1300*0,684)+(220*24*1300*0,83)</t>
  </si>
  <si>
    <t>(0,40*2,405+0,60*2,918)*1 144 685</t>
  </si>
  <si>
    <t>PPG nie podlegajace ochronie  taryfowej w 100% Uśredniona cena paliwa gazowego zawierająca opłaty abonamentowe</t>
  </si>
  <si>
    <t>(Ca7)</t>
  </si>
  <si>
    <t>(0,9933*2,405+0,0067*2,918)*12 341754</t>
  </si>
  <si>
    <t>(364*24*2743*0,684)+(2*24*2743*0,83)</t>
  </si>
  <si>
    <t>(363*24*2743*0,684)+(2*24*2743*0,83)</t>
  </si>
  <si>
    <t>"mieszanych"99,33% wolumenu podlega ochronie, 0,067% nie</t>
  </si>
  <si>
    <t>(293*24*1426*0,684)+(72*24*1426*0,83)</t>
  </si>
  <si>
    <t>(0,8034*2,405+0,1966*2,918)*3 712 444</t>
  </si>
  <si>
    <t>(146*24*1300*0,684)+(229*24*1300*0,83)</t>
  </si>
  <si>
    <t>(0,40*2,405+0,60*2,918)*1 140 000</t>
  </si>
  <si>
    <t>(Zc1)</t>
  </si>
  <si>
    <t xml:space="preserve">        Cena jednostkowa netto [gr/kWh]
(należy podać z dokładnością do 
maksymalnie trzech miejsc po przecinku)</t>
  </si>
  <si>
    <t>Podlegające ochronie taryfowej w 100% i ochronie częściowej zgodnie z opisem w Załączniku nr 1a do SWZ*</t>
  </si>
  <si>
    <t>bez akcyzy wolumen objęty ochroną taryfową</t>
  </si>
  <si>
    <t>zawierająca akcyzę w wysokości 0,390 gr/kWh wolumen objęty ochroną taryfową</t>
  </si>
  <si>
    <t>bez akcyzy (uśredniona cena paliwa gazowego bez opłaty abonamentowej)  wolumen  nie objęty ochroną taryfową</t>
  </si>
  <si>
    <t>zawierająca akcyzę w wysokości 0,390 gr/kWh (uśredniona cena paliwa gazowego bez opłaty abonamentowej)  wolumen  nie objęty ochroną taryfową</t>
  </si>
  <si>
    <r>
      <t>Suma opłat za paliwo gazowe (C</t>
    </r>
    <r>
      <rPr>
        <vertAlign val="subscript"/>
        <sz val="8"/>
        <rFont val="Calibri"/>
        <family val="2"/>
      </rPr>
      <t>pg</t>
    </r>
    <r>
      <rPr>
        <sz val="8"/>
        <rFont val="Calibri"/>
        <family val="2"/>
      </rPr>
      <t>) netto</t>
    </r>
  </si>
  <si>
    <r>
      <t>Całkowite koszty dystrybucji (D</t>
    </r>
    <r>
      <rPr>
        <vertAlign val="subscript"/>
        <sz val="8"/>
        <rFont val="Calibri"/>
        <family val="2"/>
      </rPr>
      <t>c</t>
    </r>
    <r>
      <rPr>
        <sz val="8"/>
        <rFont val="Calibri"/>
        <family val="2"/>
      </rPr>
      <t>) netto</t>
    </r>
  </si>
  <si>
    <r>
      <t>Razem netto C</t>
    </r>
    <r>
      <rPr>
        <vertAlign val="subscript"/>
        <sz val="8"/>
        <rFont val="Calibri"/>
        <family val="2"/>
      </rPr>
      <t xml:space="preserve">pg </t>
    </r>
    <r>
      <rPr>
        <sz val="8"/>
        <rFont val="Calibri"/>
        <family val="2"/>
      </rPr>
      <t>+ D</t>
    </r>
    <r>
      <rPr>
        <vertAlign val="subscript"/>
        <sz val="8"/>
        <rFont val="Calibri"/>
        <family val="2"/>
      </rPr>
      <t xml:space="preserve">c </t>
    </r>
  </si>
  <si>
    <r>
      <t>Suma opłat za paliwo gazowe (C</t>
    </r>
    <r>
      <rPr>
        <vertAlign val="subscript"/>
        <sz val="8"/>
        <rFont val="Calibri Light"/>
        <family val="2"/>
      </rPr>
      <t>pg</t>
    </r>
    <r>
      <rPr>
        <sz val="8"/>
        <rFont val="Calibri Light"/>
        <family val="2"/>
      </rPr>
      <t>) netto</t>
    </r>
  </si>
  <si>
    <r>
      <t>Całkowite koszty dystrybucji (D</t>
    </r>
    <r>
      <rPr>
        <vertAlign val="subscript"/>
        <sz val="8"/>
        <rFont val="Calibri Light"/>
        <family val="2"/>
      </rPr>
      <t>c</t>
    </r>
    <r>
      <rPr>
        <sz val="8"/>
        <rFont val="Calibri Light"/>
        <family val="2"/>
      </rPr>
      <t>) netto</t>
    </r>
  </si>
  <si>
    <r>
      <t>Razem netto C</t>
    </r>
    <r>
      <rPr>
        <vertAlign val="subscript"/>
        <sz val="8"/>
        <rFont val="Calibri Light"/>
        <family val="2"/>
      </rPr>
      <t xml:space="preserve">pg </t>
    </r>
    <r>
      <rPr>
        <sz val="8"/>
        <rFont val="Calibri Light"/>
        <family val="2"/>
      </rPr>
      <t>+ D</t>
    </r>
    <r>
      <rPr>
        <vertAlign val="subscript"/>
        <sz val="8"/>
        <rFont val="Calibri Light"/>
        <family val="2"/>
      </rPr>
      <t xml:space="preserve">c </t>
    </r>
  </si>
  <si>
    <t>Podlegające ochronie taryfowej w 100% i ochronie częściowej zgodnie z opisem w Załączniku nr 1b do SWZ</t>
  </si>
  <si>
    <t>Podlegające ochronie taryfowej w 100% i ochronie częściowej zgodnie z opisem w Załączniku nr 1c do SWZ</t>
  </si>
  <si>
    <t>Podlegające ochronie taryfowej w 100% i ochronie częściowej zgodnie z opisem w Załączniku nr 1d do SWZ</t>
  </si>
  <si>
    <t>Wielkość w okresie 
trwania umowy  
[kWh]</t>
  </si>
  <si>
    <t>Załącznik nr 2a do SWZ</t>
  </si>
  <si>
    <t>Część 1 zamówienia - Kompleksowa dostawa gazu ziemnego w roku 2024 - grupy taryfowe W-1 - W-5</t>
  </si>
  <si>
    <t>Załącznik nr 2b do SWZ</t>
  </si>
  <si>
    <t>Część 2 zamówienia – Kompleksowa dostawa gazu ziemnego w roku 2024 - grupy taryfowe W-6 - W-7</t>
  </si>
  <si>
    <t>Załącznik nr 2c do SWZ</t>
  </si>
  <si>
    <t>Część 3 zamówienia – Kompleksowa dostawa gazu ziemnego w roku 2025  - grupy taryfowe W-1 - W-5</t>
  </si>
  <si>
    <t>Załącznik nr 2d do SWZ</t>
  </si>
  <si>
    <t>Część 4 zamówienia – Kompleksowa dostawa gazu ziemnego w roku 2025  - grupy taryfowe W-6 - W-7</t>
  </si>
  <si>
    <t>(224*24*1426*0,684)+(55*24*1426*0,83)</t>
  </si>
  <si>
    <t>(0,8034*2,405+0,1966*2,918)*1 624 328</t>
  </si>
  <si>
    <t>Grupa taryfowa dystrybucyjna W-2.2</t>
  </si>
  <si>
    <t>5,127</t>
  </si>
  <si>
    <t>(0,50*34,8+0,50*42,23)*12*2</t>
  </si>
  <si>
    <t>(0,50*3,642+0,50*4,419)*41 862</t>
  </si>
  <si>
    <t>(0,50*3,642+0,50*4,419)*41 714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</si>
</sst>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[$-415]General"/>
    <numFmt numFmtId="179" formatCode="[$-415]#,##0"/>
    <numFmt numFmtId="180" formatCode="mmm/yyyy"/>
    <numFmt numFmtId="181" formatCode="#,##0.0000_ ;\-#,##0.0000\ "/>
    <numFmt numFmtId="182" formatCode="_-* #,##0.00\ _z_ł_-;\-* #,##0.00\ _z_ł_-;_-* \-??\ _z_ł_-;_-@_-"/>
    <numFmt numFmtId="183" formatCode="d/mm/yyyy"/>
    <numFmt numFmtId="184" formatCode="#,##0.00000"/>
    <numFmt numFmtId="185" formatCode="#,##0.000_ ;\-#,##0.000\ "/>
    <numFmt numFmtId="186" formatCode="hh&quot;:&quot;mm&quot;:&quot;ss"/>
    <numFmt numFmtId="187" formatCode="#,##0.00_ ;\-#,##0.00\ "/>
    <numFmt numFmtId="188" formatCode="#,##0.0000000_ ;\-#,##0.0000000\ "/>
    <numFmt numFmtId="189" formatCode="0.000000"/>
  </numFmts>
  <fonts count="7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2"/>
    </font>
    <font>
      <sz val="8"/>
      <name val="Calibri Light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8"/>
      <name val="Calibri"/>
      <family val="2"/>
    </font>
    <font>
      <u val="single"/>
      <sz val="8"/>
      <name val="Arial"/>
      <family val="2"/>
    </font>
    <font>
      <u val="single"/>
      <sz val="8"/>
      <name val="Calibri Light"/>
      <family val="2"/>
    </font>
    <font>
      <vertAlign val="subscript"/>
      <sz val="8"/>
      <name val="Calibri"/>
      <family val="2"/>
    </font>
    <font>
      <vertAlign val="subscript"/>
      <sz val="8"/>
      <name val="Calibri Light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Arial"/>
      <family val="2"/>
    </font>
    <font>
      <sz val="8"/>
      <color indexed="8"/>
      <name val="Calibri Light"/>
      <family val="2"/>
    </font>
    <font>
      <b/>
      <sz val="14"/>
      <color indexed="8"/>
      <name val="Calibri"/>
      <family val="2"/>
    </font>
    <font>
      <sz val="8"/>
      <color indexed="10"/>
      <name val="Calibri"/>
      <family val="2"/>
    </font>
    <font>
      <sz val="8"/>
      <color indexed="10"/>
      <name val="Calibri Light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"/>
      <family val="2"/>
    </font>
    <font>
      <sz val="8"/>
      <color theme="1"/>
      <name val="Calibri Light"/>
      <family val="2"/>
    </font>
    <font>
      <b/>
      <sz val="14"/>
      <color theme="1"/>
      <name val="Calibri"/>
      <family val="2"/>
    </font>
    <font>
      <sz val="8"/>
      <color rgb="FFFF0000"/>
      <name val="Calibri"/>
      <family val="2"/>
    </font>
    <font>
      <sz val="8"/>
      <color rgb="FFFF0000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" fillId="0" borderId="0" applyFill="0" applyBorder="0" applyAlignment="0" applyProtection="0"/>
    <xf numFmtId="165" fontId="50" fillId="0" borderId="0" applyFont="0" applyFill="0" applyBorder="0" applyAlignment="0" applyProtection="0"/>
    <xf numFmtId="182" fontId="1" fillId="0" borderId="0" applyFill="0" applyBorder="0" applyAlignment="0" applyProtection="0"/>
    <xf numFmtId="0" fontId="10" fillId="32" borderId="0" applyNumberFormat="0" applyBorder="0" applyAlignment="0" applyProtection="0"/>
    <xf numFmtId="178" fontId="51" fillId="0" borderId="0">
      <alignment/>
      <protection/>
    </xf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34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58" fillId="36" borderId="0" applyNumberFormat="0" applyBorder="0" applyAlignment="0" applyProtection="0"/>
    <xf numFmtId="0" fontId="5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8" fillId="35" borderId="8" applyNumberFormat="0" applyAlignment="0" applyProtection="0"/>
    <xf numFmtId="0" fontId="59" fillId="30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7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3" fontId="66" fillId="0" borderId="0" xfId="47" applyFont="1" applyAlignment="1">
      <alignment/>
    </xf>
    <xf numFmtId="0" fontId="2" fillId="0" borderId="0" xfId="0" applyFont="1" applyAlignment="1">
      <alignment/>
    </xf>
    <xf numFmtId="3" fontId="2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4" fontId="2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67" fillId="39" borderId="0" xfId="0" applyFont="1" applyFill="1" applyAlignment="1">
      <alignment/>
    </xf>
    <xf numFmtId="4" fontId="67" fillId="0" borderId="0" xfId="0" applyNumberFormat="1" applyFont="1" applyAlignment="1">
      <alignment/>
    </xf>
    <xf numFmtId="43" fontId="67" fillId="0" borderId="0" xfId="47" applyFont="1" applyAlignment="1">
      <alignment/>
    </xf>
    <xf numFmtId="43" fontId="6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39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4" fontId="2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39" borderId="0" xfId="0" applyFont="1" applyFill="1" applyAlignment="1">
      <alignment wrapText="1"/>
    </xf>
    <xf numFmtId="0" fontId="6" fillId="39" borderId="0" xfId="0" applyFont="1" applyFill="1" applyAlignment="1">
      <alignment wrapText="1"/>
    </xf>
    <xf numFmtId="0" fontId="67" fillId="0" borderId="0" xfId="0" applyFont="1" applyAlignment="1">
      <alignment wrapText="1"/>
    </xf>
    <xf numFmtId="3" fontId="67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6" fillId="39" borderId="0" xfId="0" applyNumberFormat="1" applyFont="1" applyFill="1" applyAlignment="1">
      <alignment wrapText="1"/>
    </xf>
    <xf numFmtId="4" fontId="21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39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39" borderId="11" xfId="0" applyNumberFormat="1" applyFont="1" applyFill="1" applyBorder="1" applyAlignment="1">
      <alignment horizontal="center" vertical="center" wrapText="1"/>
    </xf>
    <xf numFmtId="3" fontId="6" fillId="39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4" fontId="6" fillId="39" borderId="11" xfId="0" applyNumberFormat="1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 wrapText="1"/>
    </xf>
    <xf numFmtId="3" fontId="6" fillId="39" borderId="13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 wrapText="1"/>
    </xf>
    <xf numFmtId="4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3" fontId="19" fillId="39" borderId="11" xfId="0" applyNumberFormat="1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39" borderId="1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3" fontId="19" fillId="39" borderId="11" xfId="0" applyNumberFormat="1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9" fontId="19" fillId="39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3" fontId="6" fillId="39" borderId="12" xfId="0" applyNumberFormat="1" applyFont="1" applyFill="1" applyBorder="1" applyAlignment="1">
      <alignment horizontal="center" vertical="center" wrapText="1"/>
    </xf>
    <xf numFmtId="4" fontId="6" fillId="39" borderId="12" xfId="0" applyNumberFormat="1" applyFont="1" applyFill="1" applyBorder="1" applyAlignment="1">
      <alignment horizontal="right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39" borderId="13" xfId="0" applyNumberFormat="1" applyFont="1" applyFill="1" applyBorder="1" applyAlignment="1">
      <alignment horizontal="center" vertical="center" wrapText="1"/>
    </xf>
    <xf numFmtId="4" fontId="6" fillId="39" borderId="13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6" fillId="39" borderId="11" xfId="0" applyFont="1" applyFill="1" applyBorder="1" applyAlignment="1">
      <alignment horizontal="center" vertical="center" wrapText="1"/>
    </xf>
    <xf numFmtId="0" fontId="19" fillId="39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3" fontId="69" fillId="39" borderId="11" xfId="0" applyNumberFormat="1" applyFont="1" applyFill="1" applyBorder="1" applyAlignment="1">
      <alignment horizontal="center" vertical="center"/>
    </xf>
    <xf numFmtId="0" fontId="69" fillId="0" borderId="18" xfId="0" applyFont="1" applyBorder="1" applyAlignment="1">
      <alignment horizontal="right" vertical="center" wrapText="1"/>
    </xf>
    <xf numFmtId="4" fontId="69" fillId="0" borderId="18" xfId="0" applyNumberFormat="1" applyFont="1" applyBorder="1" applyAlignment="1">
      <alignment horizontal="right" vertical="center"/>
    </xf>
    <xf numFmtId="3" fontId="69" fillId="39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right" vertical="center"/>
    </xf>
    <xf numFmtId="3" fontId="70" fillId="39" borderId="11" xfId="0" applyNumberFormat="1" applyFont="1" applyFill="1" applyBorder="1" applyAlignment="1">
      <alignment horizontal="center" vertical="center" wrapText="1"/>
    </xf>
    <xf numFmtId="4" fontId="70" fillId="39" borderId="11" xfId="0" applyNumberFormat="1" applyFont="1" applyFill="1" applyBorder="1" applyAlignment="1">
      <alignment horizontal="right" vertical="center" wrapText="1"/>
    </xf>
    <xf numFmtId="49" fontId="70" fillId="39" borderId="11" xfId="0" applyNumberFormat="1" applyFont="1" applyFill="1" applyBorder="1" applyAlignment="1">
      <alignment horizontal="center" vertical="center" wrapText="1"/>
    </xf>
    <xf numFmtId="3" fontId="70" fillId="39" borderId="12" xfId="0" applyNumberFormat="1" applyFont="1" applyFill="1" applyBorder="1" applyAlignment="1">
      <alignment horizontal="center" vertical="center" wrapText="1"/>
    </xf>
    <xf numFmtId="4" fontId="70" fillId="39" borderId="12" xfId="0" applyNumberFormat="1" applyFont="1" applyFill="1" applyBorder="1" applyAlignment="1">
      <alignment horizontal="right" vertical="center" wrapText="1"/>
    </xf>
    <xf numFmtId="4" fontId="70" fillId="0" borderId="11" xfId="0" applyNumberFormat="1" applyFont="1" applyBorder="1" applyAlignment="1">
      <alignment horizontal="right" vertical="center" wrapText="1"/>
    </xf>
    <xf numFmtId="0" fontId="70" fillId="39" borderId="11" xfId="0" applyFont="1" applyFill="1" applyBorder="1" applyAlignment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vertical="center" wrapText="1"/>
    </xf>
    <xf numFmtId="0" fontId="6" fillId="39" borderId="13" xfId="0" applyFont="1" applyFill="1" applyBorder="1" applyAlignment="1">
      <alignment vertical="center" wrapText="1"/>
    </xf>
    <xf numFmtId="4" fontId="6" fillId="39" borderId="11" xfId="0" applyNumberFormat="1" applyFont="1" applyFill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6" fillId="39" borderId="19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39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vertical="center" wrapText="1"/>
    </xf>
    <xf numFmtId="0" fontId="6" fillId="39" borderId="13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center" wrapText="1"/>
    </xf>
    <xf numFmtId="0" fontId="6" fillId="39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39" borderId="11" xfId="0" applyNumberFormat="1" applyFont="1" applyFill="1" applyBorder="1" applyAlignment="1">
      <alignment horizontal="right" vertical="center" wrapText="1"/>
    </xf>
    <xf numFmtId="0" fontId="70" fillId="39" borderId="17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 wrapText="1"/>
    </xf>
    <xf numFmtId="0" fontId="70" fillId="39" borderId="18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8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vertical="center" wrapText="1"/>
    </xf>
    <xf numFmtId="0" fontId="6" fillId="39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8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Dziesiętny 2" xfId="49"/>
    <cellStyle name="Dziesiętny 2 2" xfId="50"/>
    <cellStyle name="Dziesiętny 3" xfId="51"/>
    <cellStyle name="Error" xfId="52"/>
    <cellStyle name="Excel Built-in Normal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Hiperłącze 2" xfId="60"/>
    <cellStyle name="Hiperłącze 2 2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" xfId="68"/>
    <cellStyle name="Neutralne" xfId="69"/>
    <cellStyle name="Normalny 2" xfId="70"/>
    <cellStyle name="Normalny 2 2" xfId="71"/>
    <cellStyle name="Normalny 3" xfId="72"/>
    <cellStyle name="Normalny 3 2" xfId="73"/>
    <cellStyle name="Normalny 4" xfId="74"/>
    <cellStyle name="Note" xfId="75"/>
    <cellStyle name="Obliczenia" xfId="76"/>
    <cellStyle name="Followed Hyperlink" xfId="77"/>
    <cellStyle name="Percent" xfId="78"/>
    <cellStyle name="Procentowy 2" xfId="79"/>
    <cellStyle name="Status" xfId="80"/>
    <cellStyle name="Suma" xfId="81"/>
    <cellStyle name="Tekst objaśnienia" xfId="82"/>
    <cellStyle name="Tekst ostrzeżenia" xfId="83"/>
    <cellStyle name="Text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3" xfId="91"/>
    <cellStyle name="Warning" xfId="92"/>
    <cellStyle name="Złe" xfId="93"/>
    <cellStyle name="Złe 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__AAA-2023\Dane%20SWZ%20-%20Pleszewska%202024%20-%20gaz%20dla%20J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AAA2022\21.09.2022%20Gryficka%20gaz\Dane%20SWZ%20-%20Gryficka%202023%20-%20G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 24"/>
      <sheetName val="24-DO LICZENIA"/>
      <sheetName val="Formularz 24"/>
      <sheetName val="Słownie"/>
      <sheetName val="Dane szczegółowe 25"/>
      <sheetName val="25-DO LICZENIA"/>
      <sheetName val="Formularz 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"/>
      <sheetName val="tabela"/>
      <sheetName val="Formularz"/>
      <sheetName val="Arkusz1"/>
      <sheetName val="Formularz JK"/>
      <sheetName val="tabela (2)"/>
      <sheetName val="Dane szczegółowe (2)"/>
      <sheetName val="Arkusz5"/>
      <sheetName val="Dane szczegółowe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71"/>
  <sheetViews>
    <sheetView tabSelected="1" zoomScaleSheetLayoutView="100" zoomScalePageLayoutView="0" workbookViewId="0" topLeftCell="A118">
      <selection activeCell="L152" sqref="L152"/>
    </sheetView>
  </sheetViews>
  <sheetFormatPr defaultColWidth="9.00390625" defaultRowHeight="14.25"/>
  <cols>
    <col min="1" max="1" width="16.125" style="5" customWidth="1"/>
    <col min="2" max="2" width="13.625" style="5" customWidth="1"/>
    <col min="3" max="3" width="16.00390625" style="5" customWidth="1"/>
    <col min="4" max="4" width="15.125" style="5" customWidth="1"/>
    <col min="5" max="5" width="18.00390625" style="6" customWidth="1"/>
    <col min="6" max="6" width="9.00390625" style="7" customWidth="1"/>
    <col min="7" max="7" width="18.875" style="21" customWidth="1"/>
    <col min="8" max="8" width="9.00390625" style="5" customWidth="1"/>
    <col min="9" max="9" width="13.25390625" style="9" customWidth="1"/>
    <col min="10" max="11" width="14.625" style="1" bestFit="1" customWidth="1"/>
    <col min="12" max="12" width="10.875" style="1" bestFit="1" customWidth="1"/>
    <col min="13" max="16384" width="9.00390625" style="1" customWidth="1"/>
  </cols>
  <sheetData>
    <row r="1" ht="18.75">
      <c r="A1" s="69" t="s">
        <v>258</v>
      </c>
    </row>
    <row r="2" ht="18.75">
      <c r="A2" s="70" t="s">
        <v>259</v>
      </c>
    </row>
    <row r="7" spans="1:9" s="10" customFormat="1" ht="11.25">
      <c r="A7" s="46"/>
      <c r="B7" s="123" t="s">
        <v>1</v>
      </c>
      <c r="C7" s="124"/>
      <c r="D7" s="125"/>
      <c r="E7" s="118" t="s">
        <v>257</v>
      </c>
      <c r="F7" s="118"/>
      <c r="G7" s="119" t="s">
        <v>242</v>
      </c>
      <c r="H7" s="120"/>
      <c r="I7" s="129" t="s">
        <v>2</v>
      </c>
    </row>
    <row r="8" spans="1:9" s="10" customFormat="1" ht="11.25">
      <c r="A8" s="46"/>
      <c r="B8" s="126"/>
      <c r="C8" s="127"/>
      <c r="D8" s="128"/>
      <c r="E8" s="118"/>
      <c r="F8" s="118"/>
      <c r="G8" s="121"/>
      <c r="H8" s="122"/>
      <c r="I8" s="130"/>
    </row>
    <row r="9" spans="1:9" s="10" customFormat="1" ht="11.25">
      <c r="A9" s="46"/>
      <c r="B9" s="126"/>
      <c r="C9" s="127"/>
      <c r="D9" s="128"/>
      <c r="E9" s="118"/>
      <c r="F9" s="118"/>
      <c r="G9" s="121"/>
      <c r="H9" s="122"/>
      <c r="I9" s="130"/>
    </row>
    <row r="10" spans="1:12" ht="11.25">
      <c r="A10" s="47">
        <v>1</v>
      </c>
      <c r="B10" s="101">
        <v>2</v>
      </c>
      <c r="C10" s="101"/>
      <c r="D10" s="101"/>
      <c r="E10" s="116">
        <v>3</v>
      </c>
      <c r="F10" s="116"/>
      <c r="G10" s="115">
        <v>4</v>
      </c>
      <c r="H10" s="115"/>
      <c r="I10" s="49" t="s">
        <v>3</v>
      </c>
      <c r="L10" s="2"/>
    </row>
    <row r="11" spans="1:11" ht="11.25">
      <c r="A11" s="101" t="s">
        <v>4</v>
      </c>
      <c r="B11" s="115" t="s">
        <v>243</v>
      </c>
      <c r="C11" s="115" t="s">
        <v>244</v>
      </c>
      <c r="D11" s="115"/>
      <c r="E11" s="50" t="s">
        <v>241</v>
      </c>
      <c r="F11" s="116" t="s">
        <v>0</v>
      </c>
      <c r="G11" s="51" t="s">
        <v>5</v>
      </c>
      <c r="H11" s="115" t="s">
        <v>6</v>
      </c>
      <c r="I11" s="117"/>
      <c r="K11" s="2"/>
    </row>
    <row r="12" spans="1:13" ht="11.25">
      <c r="A12" s="101"/>
      <c r="B12" s="115"/>
      <c r="C12" s="115"/>
      <c r="D12" s="115"/>
      <c r="E12" s="79">
        <v>41700741</v>
      </c>
      <c r="F12" s="116"/>
      <c r="G12" s="51"/>
      <c r="H12" s="115"/>
      <c r="I12" s="117"/>
      <c r="K12" s="2"/>
      <c r="L12" s="2"/>
      <c r="M12" s="2"/>
    </row>
    <row r="13" spans="1:9" ht="11.25">
      <c r="A13" s="101"/>
      <c r="B13" s="115"/>
      <c r="C13" s="115" t="s">
        <v>245</v>
      </c>
      <c r="D13" s="115"/>
      <c r="E13" s="50" t="s">
        <v>7</v>
      </c>
      <c r="F13" s="116"/>
      <c r="G13" s="51" t="s">
        <v>8</v>
      </c>
      <c r="H13" s="115"/>
      <c r="I13" s="117"/>
    </row>
    <row r="14" spans="1:9" ht="11.25">
      <c r="A14" s="101"/>
      <c r="B14" s="115"/>
      <c r="C14" s="115"/>
      <c r="D14" s="115"/>
      <c r="E14" s="79">
        <v>1155921</v>
      </c>
      <c r="F14" s="116"/>
      <c r="G14" s="51"/>
      <c r="H14" s="115"/>
      <c r="I14" s="117"/>
    </row>
    <row r="15" spans="1:9" ht="24.75" customHeight="1">
      <c r="A15" s="101"/>
      <c r="B15" s="115"/>
      <c r="C15" s="115" t="s">
        <v>246</v>
      </c>
      <c r="D15" s="115"/>
      <c r="E15" s="50" t="s">
        <v>9</v>
      </c>
      <c r="F15" s="116"/>
      <c r="G15" s="51" t="s">
        <v>10</v>
      </c>
      <c r="H15" s="115"/>
      <c r="I15" s="117"/>
    </row>
    <row r="16" spans="1:9" ht="24.75" customHeight="1">
      <c r="A16" s="101"/>
      <c r="B16" s="115"/>
      <c r="C16" s="115"/>
      <c r="D16" s="115"/>
      <c r="E16" s="79">
        <v>4582050</v>
      </c>
      <c r="F16" s="116"/>
      <c r="G16" s="51"/>
      <c r="H16" s="115"/>
      <c r="I16" s="117"/>
    </row>
    <row r="17" spans="1:9" ht="24.75" customHeight="1">
      <c r="A17" s="101"/>
      <c r="B17" s="115"/>
      <c r="C17" s="115" t="s">
        <v>247</v>
      </c>
      <c r="D17" s="115"/>
      <c r="E17" s="50" t="s">
        <v>11</v>
      </c>
      <c r="F17" s="116"/>
      <c r="G17" s="51" t="s">
        <v>12</v>
      </c>
      <c r="H17" s="115"/>
      <c r="I17" s="117"/>
    </row>
    <row r="18" spans="1:11" ht="24.75" customHeight="1">
      <c r="A18" s="101"/>
      <c r="B18" s="115"/>
      <c r="C18" s="115"/>
      <c r="D18" s="115"/>
      <c r="E18" s="50">
        <v>424066</v>
      </c>
      <c r="F18" s="116"/>
      <c r="G18" s="51"/>
      <c r="H18" s="115"/>
      <c r="I18" s="117"/>
      <c r="K18" s="2"/>
    </row>
    <row r="19" spans="1:9" ht="11.25">
      <c r="A19" s="101"/>
      <c r="B19" s="115"/>
      <c r="C19" s="115" t="s">
        <v>13</v>
      </c>
      <c r="D19" s="115" t="s">
        <v>14</v>
      </c>
      <c r="E19" s="50" t="s">
        <v>15</v>
      </c>
      <c r="F19" s="116" t="s">
        <v>16</v>
      </c>
      <c r="G19" s="51" t="s">
        <v>17</v>
      </c>
      <c r="H19" s="115" t="s">
        <v>18</v>
      </c>
      <c r="I19" s="117"/>
    </row>
    <row r="20" spans="1:9" ht="11.25">
      <c r="A20" s="101"/>
      <c r="B20" s="115"/>
      <c r="C20" s="115"/>
      <c r="D20" s="115"/>
      <c r="E20" s="50">
        <v>420</v>
      </c>
      <c r="F20" s="116"/>
      <c r="G20" s="53"/>
      <c r="H20" s="115"/>
      <c r="I20" s="117"/>
    </row>
    <row r="21" spans="1:9" ht="11.25">
      <c r="A21" s="101"/>
      <c r="B21" s="115"/>
      <c r="C21" s="115"/>
      <c r="D21" s="115" t="s">
        <v>19</v>
      </c>
      <c r="E21" s="50" t="s">
        <v>20</v>
      </c>
      <c r="F21" s="116"/>
      <c r="G21" s="51" t="s">
        <v>21</v>
      </c>
      <c r="H21" s="115"/>
      <c r="I21" s="117"/>
    </row>
    <row r="22" spans="1:9" ht="11.25">
      <c r="A22" s="101"/>
      <c r="B22" s="115"/>
      <c r="C22" s="115"/>
      <c r="D22" s="115"/>
      <c r="E22" s="50">
        <v>919</v>
      </c>
      <c r="F22" s="116"/>
      <c r="G22" s="53"/>
      <c r="H22" s="115"/>
      <c r="I22" s="117"/>
    </row>
    <row r="23" spans="1:9" ht="11.25">
      <c r="A23" s="101"/>
      <c r="B23" s="115"/>
      <c r="C23" s="115"/>
      <c r="D23" s="115" t="s">
        <v>22</v>
      </c>
      <c r="E23" s="50" t="s">
        <v>23</v>
      </c>
      <c r="F23" s="116"/>
      <c r="G23" s="51" t="s">
        <v>24</v>
      </c>
      <c r="H23" s="115"/>
      <c r="I23" s="117"/>
    </row>
    <row r="24" spans="1:9" ht="11.25">
      <c r="A24" s="101"/>
      <c r="B24" s="115"/>
      <c r="C24" s="115"/>
      <c r="D24" s="115"/>
      <c r="E24" s="79">
        <v>1143</v>
      </c>
      <c r="F24" s="116"/>
      <c r="G24" s="53"/>
      <c r="H24" s="115"/>
      <c r="I24" s="117"/>
    </row>
    <row r="25" spans="1:9" ht="11.25">
      <c r="A25" s="101"/>
      <c r="B25" s="115"/>
      <c r="C25" s="115"/>
      <c r="D25" s="115" t="s">
        <v>25</v>
      </c>
      <c r="E25" s="50" t="s">
        <v>26</v>
      </c>
      <c r="F25" s="116"/>
      <c r="G25" s="51" t="s">
        <v>27</v>
      </c>
      <c r="H25" s="115"/>
      <c r="I25" s="117"/>
    </row>
    <row r="26" spans="1:9" ht="11.25">
      <c r="A26" s="101"/>
      <c r="B26" s="115"/>
      <c r="C26" s="115"/>
      <c r="D26" s="115"/>
      <c r="E26" s="50">
        <v>19</v>
      </c>
      <c r="F26" s="116"/>
      <c r="G26" s="53"/>
      <c r="H26" s="115"/>
      <c r="I26" s="117"/>
    </row>
    <row r="27" spans="1:9" ht="11.25">
      <c r="A27" s="101"/>
      <c r="B27" s="115"/>
      <c r="C27" s="115"/>
      <c r="D27" s="115" t="s">
        <v>28</v>
      </c>
      <c r="E27" s="50" t="s">
        <v>29</v>
      </c>
      <c r="F27" s="116"/>
      <c r="G27" s="51" t="s">
        <v>30</v>
      </c>
      <c r="H27" s="115"/>
      <c r="I27" s="117"/>
    </row>
    <row r="28" spans="1:9" ht="11.25">
      <c r="A28" s="101"/>
      <c r="B28" s="115"/>
      <c r="C28" s="115"/>
      <c r="D28" s="115"/>
      <c r="E28" s="79">
        <v>239</v>
      </c>
      <c r="F28" s="116"/>
      <c r="G28" s="53"/>
      <c r="H28" s="115"/>
      <c r="I28" s="117"/>
    </row>
    <row r="29" spans="1:9" ht="11.25">
      <c r="A29" s="101"/>
      <c r="B29" s="115"/>
      <c r="C29" s="115"/>
      <c r="D29" s="115" t="s">
        <v>31</v>
      </c>
      <c r="E29" s="50" t="s">
        <v>32</v>
      </c>
      <c r="F29" s="116"/>
      <c r="G29" s="51" t="s">
        <v>33</v>
      </c>
      <c r="H29" s="115"/>
      <c r="I29" s="117"/>
    </row>
    <row r="30" spans="1:9" ht="11.25">
      <c r="A30" s="101"/>
      <c r="B30" s="115"/>
      <c r="C30" s="115"/>
      <c r="D30" s="115"/>
      <c r="E30" s="50">
        <v>848</v>
      </c>
      <c r="F30" s="116"/>
      <c r="G30" s="53"/>
      <c r="H30" s="115"/>
      <c r="I30" s="117"/>
    </row>
    <row r="31" spans="1:9" ht="11.25">
      <c r="A31" s="101"/>
      <c r="B31" s="115"/>
      <c r="C31" s="115" t="s">
        <v>35</v>
      </c>
      <c r="D31" s="115" t="s">
        <v>19</v>
      </c>
      <c r="E31" s="50" t="s">
        <v>34</v>
      </c>
      <c r="F31" s="116"/>
      <c r="G31" s="51" t="s">
        <v>232</v>
      </c>
      <c r="H31" s="115"/>
      <c r="I31" s="117"/>
    </row>
    <row r="32" spans="1:9" ht="11.25">
      <c r="A32" s="101"/>
      <c r="B32" s="115"/>
      <c r="C32" s="115"/>
      <c r="D32" s="115"/>
      <c r="E32" s="50">
        <v>5</v>
      </c>
      <c r="F32" s="116"/>
      <c r="G32" s="53"/>
      <c r="H32" s="115"/>
      <c r="I32" s="117"/>
    </row>
    <row r="33" spans="1:9" ht="11.25">
      <c r="A33" s="101"/>
      <c r="B33" s="115"/>
      <c r="C33" s="115"/>
      <c r="D33" s="115" t="s">
        <v>22</v>
      </c>
      <c r="E33" s="50" t="s">
        <v>36</v>
      </c>
      <c r="F33" s="116"/>
      <c r="G33" s="51" t="s">
        <v>37</v>
      </c>
      <c r="H33" s="115"/>
      <c r="I33" s="117"/>
    </row>
    <row r="34" spans="1:9" ht="11.25">
      <c r="A34" s="101"/>
      <c r="B34" s="115"/>
      <c r="C34" s="115"/>
      <c r="D34" s="115"/>
      <c r="E34" s="50">
        <v>45</v>
      </c>
      <c r="F34" s="116"/>
      <c r="G34" s="53"/>
      <c r="H34" s="115"/>
      <c r="I34" s="117"/>
    </row>
    <row r="35" spans="1:9" ht="11.25">
      <c r="A35" s="101"/>
      <c r="B35" s="115"/>
      <c r="C35" s="115"/>
      <c r="D35" s="115" t="s">
        <v>25</v>
      </c>
      <c r="E35" s="50" t="s">
        <v>38</v>
      </c>
      <c r="F35" s="116"/>
      <c r="G35" s="53" t="s">
        <v>39</v>
      </c>
      <c r="H35" s="115"/>
      <c r="I35" s="117"/>
    </row>
    <row r="36" spans="1:9" ht="11.25">
      <c r="A36" s="101"/>
      <c r="B36" s="115"/>
      <c r="C36" s="115"/>
      <c r="D36" s="115"/>
      <c r="E36" s="50">
        <v>5</v>
      </c>
      <c r="F36" s="116"/>
      <c r="G36" s="53"/>
      <c r="H36" s="115"/>
      <c r="I36" s="117"/>
    </row>
    <row r="37" spans="1:9" ht="11.25">
      <c r="A37" s="101"/>
      <c r="B37" s="115"/>
      <c r="C37" s="115"/>
      <c r="D37" s="115" t="s">
        <v>28</v>
      </c>
      <c r="E37" s="50" t="s">
        <v>40</v>
      </c>
      <c r="F37" s="116"/>
      <c r="G37" s="51" t="s">
        <v>41</v>
      </c>
      <c r="H37" s="115"/>
      <c r="I37" s="117"/>
    </row>
    <row r="38" spans="1:9" ht="11.25">
      <c r="A38" s="101"/>
      <c r="B38" s="115"/>
      <c r="C38" s="115"/>
      <c r="D38" s="115"/>
      <c r="E38" s="50">
        <v>25</v>
      </c>
      <c r="F38" s="116"/>
      <c r="G38" s="53"/>
      <c r="H38" s="115"/>
      <c r="I38" s="117"/>
    </row>
    <row r="39" spans="1:9" ht="11.25">
      <c r="A39" s="101"/>
      <c r="B39" s="115"/>
      <c r="C39" s="115"/>
      <c r="D39" s="115" t="s">
        <v>31</v>
      </c>
      <c r="E39" s="50" t="s">
        <v>42</v>
      </c>
      <c r="F39" s="116"/>
      <c r="G39" s="51" t="s">
        <v>43</v>
      </c>
      <c r="H39" s="115"/>
      <c r="I39" s="117"/>
    </row>
    <row r="40" spans="1:9" ht="11.25">
      <c r="A40" s="101"/>
      <c r="B40" s="115"/>
      <c r="C40" s="115"/>
      <c r="D40" s="115"/>
      <c r="E40" s="50">
        <v>64</v>
      </c>
      <c r="F40" s="116"/>
      <c r="G40" s="53"/>
      <c r="H40" s="115"/>
      <c r="I40" s="117"/>
    </row>
    <row r="41" spans="1:9" ht="11.25">
      <c r="A41" s="101"/>
      <c r="B41" s="115" t="s">
        <v>231</v>
      </c>
      <c r="C41" s="115" t="s">
        <v>44</v>
      </c>
      <c r="D41" s="115"/>
      <c r="E41" s="50" t="s">
        <v>45</v>
      </c>
      <c r="F41" s="116" t="s">
        <v>0</v>
      </c>
      <c r="G41" s="51" t="s">
        <v>46</v>
      </c>
      <c r="H41" s="115" t="s">
        <v>6</v>
      </c>
      <c r="I41" s="117"/>
    </row>
    <row r="42" spans="1:13" ht="11.25">
      <c r="A42" s="101"/>
      <c r="B42" s="115"/>
      <c r="C42" s="115"/>
      <c r="D42" s="115"/>
      <c r="E42" s="79">
        <v>4431762</v>
      </c>
      <c r="F42" s="116"/>
      <c r="G42" s="51"/>
      <c r="H42" s="115"/>
      <c r="I42" s="117"/>
      <c r="M42" s="2"/>
    </row>
    <row r="43" spans="1:9" ht="11.25">
      <c r="A43" s="101"/>
      <c r="B43" s="115"/>
      <c r="C43" s="115" t="s">
        <v>47</v>
      </c>
      <c r="D43" s="115"/>
      <c r="E43" s="50" t="s">
        <v>48</v>
      </c>
      <c r="F43" s="116"/>
      <c r="G43" s="51" t="s">
        <v>49</v>
      </c>
      <c r="H43" s="115"/>
      <c r="I43" s="117"/>
    </row>
    <row r="44" spans="1:13" ht="59.25" customHeight="1">
      <c r="A44" s="101"/>
      <c r="B44" s="115"/>
      <c r="C44" s="115"/>
      <c r="D44" s="115"/>
      <c r="E44" s="50">
        <v>526852</v>
      </c>
      <c r="F44" s="116"/>
      <c r="G44" s="51"/>
      <c r="H44" s="115"/>
      <c r="I44" s="117"/>
      <c r="M44" s="2"/>
    </row>
    <row r="45" spans="1:9" ht="11.25">
      <c r="A45" s="102" t="s">
        <v>50</v>
      </c>
      <c r="B45" s="103"/>
      <c r="C45" s="103"/>
      <c r="D45" s="103"/>
      <c r="E45" s="103"/>
      <c r="F45" s="103"/>
      <c r="G45" s="103"/>
      <c r="H45" s="103"/>
      <c r="I45" s="104"/>
    </row>
    <row r="46" spans="1:14" ht="11.25">
      <c r="A46" s="55" t="s">
        <v>64</v>
      </c>
      <c r="B46" s="99" t="s">
        <v>51</v>
      </c>
      <c r="C46" s="99"/>
      <c r="D46" s="99"/>
      <c r="E46" s="56">
        <v>420</v>
      </c>
      <c r="F46" s="57" t="s">
        <v>16</v>
      </c>
      <c r="G46" s="89">
        <v>3.85</v>
      </c>
      <c r="H46" s="48" t="s">
        <v>18</v>
      </c>
      <c r="I46" s="58">
        <f>ROUND(E46*G46,2)</f>
        <v>1617</v>
      </c>
      <c r="N46" s="3"/>
    </row>
    <row r="47" spans="1:14" ht="22.5">
      <c r="A47" s="55" t="s">
        <v>52</v>
      </c>
      <c r="B47" s="98" t="s">
        <v>53</v>
      </c>
      <c r="C47" s="98"/>
      <c r="D47" s="98"/>
      <c r="E47" s="56">
        <v>67221</v>
      </c>
      <c r="F47" s="57" t="s">
        <v>0</v>
      </c>
      <c r="G47" s="89">
        <v>5.434</v>
      </c>
      <c r="H47" s="48" t="s">
        <v>6</v>
      </c>
      <c r="I47" s="58">
        <f>ROUND(E47*G47/100,2)</f>
        <v>3652.79</v>
      </c>
      <c r="N47" s="3"/>
    </row>
    <row r="48" spans="1:9" ht="11.25">
      <c r="A48" s="55" t="s">
        <v>64</v>
      </c>
      <c r="B48" s="99" t="s">
        <v>51</v>
      </c>
      <c r="C48" s="99"/>
      <c r="D48" s="99"/>
      <c r="E48" s="76">
        <v>48</v>
      </c>
      <c r="F48" s="57" t="s">
        <v>16</v>
      </c>
      <c r="G48" s="89">
        <v>4.67</v>
      </c>
      <c r="H48" s="48" t="s">
        <v>18</v>
      </c>
      <c r="I48" s="80">
        <f>ROUND(E48*G48,2)</f>
        <v>224.16</v>
      </c>
    </row>
    <row r="49" spans="1:9" ht="11.25">
      <c r="A49" s="55" t="s">
        <v>54</v>
      </c>
      <c r="B49" s="98" t="s">
        <v>53</v>
      </c>
      <c r="C49" s="98"/>
      <c r="D49" s="98"/>
      <c r="E49" s="76">
        <v>38942</v>
      </c>
      <c r="F49" s="57" t="s">
        <v>0</v>
      </c>
      <c r="G49" s="89">
        <v>6.594</v>
      </c>
      <c r="H49" s="48" t="s">
        <v>6</v>
      </c>
      <c r="I49" s="80">
        <f>ROUND(E49*G49/100,2)</f>
        <v>2567.84</v>
      </c>
    </row>
    <row r="50" spans="1:14" ht="11.25">
      <c r="A50" s="101" t="s">
        <v>56</v>
      </c>
      <c r="B50" s="101"/>
      <c r="C50" s="101"/>
      <c r="D50" s="101"/>
      <c r="E50" s="101"/>
      <c r="F50" s="101"/>
      <c r="G50" s="101"/>
      <c r="H50" s="101"/>
      <c r="I50" s="101"/>
      <c r="N50" s="3"/>
    </row>
    <row r="51" spans="1:9" ht="11.25">
      <c r="A51" s="55" t="s">
        <v>64</v>
      </c>
      <c r="B51" s="99" t="s">
        <v>51</v>
      </c>
      <c r="C51" s="99"/>
      <c r="D51" s="99"/>
      <c r="E51" s="56">
        <v>900</v>
      </c>
      <c r="F51" s="57" t="s">
        <v>16</v>
      </c>
      <c r="G51" s="89">
        <v>10.28</v>
      </c>
      <c r="H51" s="48" t="s">
        <v>18</v>
      </c>
      <c r="I51" s="58">
        <f>ROUND(E51*G51,2)</f>
        <v>9252</v>
      </c>
    </row>
    <row r="52" spans="1:9" ht="22.5">
      <c r="A52" s="55" t="s">
        <v>52</v>
      </c>
      <c r="B52" s="98" t="s">
        <v>53</v>
      </c>
      <c r="C52" s="98"/>
      <c r="D52" s="98"/>
      <c r="E52" s="76">
        <v>947584</v>
      </c>
      <c r="F52" s="57" t="s">
        <v>0</v>
      </c>
      <c r="G52" s="89">
        <v>4.225</v>
      </c>
      <c r="H52" s="48" t="s">
        <v>6</v>
      </c>
      <c r="I52" s="80">
        <f>ROUND(E52*G52/100,2)</f>
        <v>40035.42</v>
      </c>
    </row>
    <row r="53" spans="1:9" ht="11.25">
      <c r="A53" s="55" t="s">
        <v>64</v>
      </c>
      <c r="B53" s="99" t="s">
        <v>51</v>
      </c>
      <c r="C53" s="99"/>
      <c r="D53" s="99"/>
      <c r="E53" s="76">
        <v>60</v>
      </c>
      <c r="F53" s="57" t="s">
        <v>16</v>
      </c>
      <c r="G53" s="89">
        <v>12.47</v>
      </c>
      <c r="H53" s="48" t="s">
        <v>18</v>
      </c>
      <c r="I53" s="80">
        <f>ROUND(E53*G53,2)</f>
        <v>748.2</v>
      </c>
    </row>
    <row r="54" spans="1:9" ht="11.25">
      <c r="A54" s="55" t="s">
        <v>54</v>
      </c>
      <c r="B54" s="98" t="s">
        <v>53</v>
      </c>
      <c r="C54" s="98"/>
      <c r="D54" s="98"/>
      <c r="E54" s="76">
        <v>76539</v>
      </c>
      <c r="F54" s="57" t="s">
        <v>0</v>
      </c>
      <c r="G54" s="89">
        <v>5.127</v>
      </c>
      <c r="H54" s="48" t="s">
        <v>6</v>
      </c>
      <c r="I54" s="80">
        <f>ROUND(E54*G54/100,2)</f>
        <v>3924.15</v>
      </c>
    </row>
    <row r="55" spans="1:9" ht="22.5">
      <c r="A55" s="55" t="s">
        <v>65</v>
      </c>
      <c r="B55" s="100" t="s">
        <v>51</v>
      </c>
      <c r="C55" s="100"/>
      <c r="D55" s="100"/>
      <c r="E55" s="56">
        <v>12</v>
      </c>
      <c r="F55" s="57" t="s">
        <v>16</v>
      </c>
      <c r="G55" s="89" t="s">
        <v>67</v>
      </c>
      <c r="H55" s="48" t="s">
        <v>18</v>
      </c>
      <c r="I55" s="58">
        <f>(0.95*10.28+0.05*12.47)*12</f>
        <v>124.67399999999998</v>
      </c>
    </row>
    <row r="56" spans="1:9" ht="33.75">
      <c r="A56" s="55" t="s">
        <v>66</v>
      </c>
      <c r="B56" s="100" t="s">
        <v>53</v>
      </c>
      <c r="C56" s="100"/>
      <c r="D56" s="100"/>
      <c r="E56" s="56">
        <v>13714</v>
      </c>
      <c r="F56" s="57" t="s">
        <v>0</v>
      </c>
      <c r="G56" s="89" t="s">
        <v>68</v>
      </c>
      <c r="H56" s="48" t="s">
        <v>6</v>
      </c>
      <c r="I56" s="58">
        <f>ROUND((0.95*4.225+0.05*5.127)*13714/100,2)</f>
        <v>585.6</v>
      </c>
    </row>
    <row r="57" spans="1:14" ht="22.5">
      <c r="A57" s="55" t="s">
        <v>65</v>
      </c>
      <c r="B57" s="99" t="s">
        <v>51</v>
      </c>
      <c r="C57" s="99"/>
      <c r="D57" s="99"/>
      <c r="E57" s="56">
        <v>12</v>
      </c>
      <c r="F57" s="57" t="s">
        <v>16</v>
      </c>
      <c r="G57" s="89" t="s">
        <v>70</v>
      </c>
      <c r="H57" s="48" t="s">
        <v>18</v>
      </c>
      <c r="I57" s="58">
        <f>(0.6457*10.28+0.3543*12.47)*12</f>
        <v>132.671004</v>
      </c>
      <c r="N57" s="3"/>
    </row>
    <row r="58" spans="1:14" ht="33.75">
      <c r="A58" s="55" t="s">
        <v>69</v>
      </c>
      <c r="B58" s="98" t="s">
        <v>53</v>
      </c>
      <c r="C58" s="98"/>
      <c r="D58" s="98"/>
      <c r="E58" s="56">
        <v>64809</v>
      </c>
      <c r="F58" s="57" t="s">
        <v>0</v>
      </c>
      <c r="G58" s="59" t="s">
        <v>71</v>
      </c>
      <c r="H58" s="48" t="s">
        <v>6</v>
      </c>
      <c r="I58" s="58">
        <f>ROUND((0.6457*4.225+0.3543*5.127)*64809/100,2)</f>
        <v>2945.3</v>
      </c>
      <c r="N58" s="3"/>
    </row>
    <row r="59" spans="1:9" ht="11.25">
      <c r="A59" s="109" t="s">
        <v>268</v>
      </c>
      <c r="B59" s="110"/>
      <c r="C59" s="110"/>
      <c r="D59" s="110"/>
      <c r="E59" s="110"/>
      <c r="F59" s="110"/>
      <c r="G59" s="110"/>
      <c r="H59" s="110"/>
      <c r="I59" s="111"/>
    </row>
    <row r="60" spans="1:9" ht="11.25">
      <c r="A60" s="74" t="s">
        <v>64</v>
      </c>
      <c r="B60" s="112" t="s">
        <v>51</v>
      </c>
      <c r="C60" s="113"/>
      <c r="D60" s="114"/>
      <c r="E60" s="75">
        <v>12</v>
      </c>
      <c r="F60" s="73" t="s">
        <v>16</v>
      </c>
      <c r="G60" s="48">
        <v>13.28</v>
      </c>
      <c r="H60" s="48" t="s">
        <v>18</v>
      </c>
      <c r="I60" s="77">
        <f>ROUND(E60*G60,2)</f>
        <v>159.36</v>
      </c>
    </row>
    <row r="61" spans="1:9" ht="11.25">
      <c r="A61" s="74" t="s">
        <v>54</v>
      </c>
      <c r="B61" s="106" t="s">
        <v>53</v>
      </c>
      <c r="C61" s="107"/>
      <c r="D61" s="108"/>
      <c r="E61" s="76">
        <v>33231</v>
      </c>
      <c r="F61" s="72" t="s">
        <v>0</v>
      </c>
      <c r="G61" s="59" t="s">
        <v>269</v>
      </c>
      <c r="H61" s="48" t="s">
        <v>6</v>
      </c>
      <c r="I61" s="78">
        <f>ROUND(E61*G61/100,2)</f>
        <v>1703.75</v>
      </c>
    </row>
    <row r="62" spans="1:9" ht="11.25">
      <c r="A62" s="102" t="s">
        <v>57</v>
      </c>
      <c r="B62" s="103"/>
      <c r="C62" s="103"/>
      <c r="D62" s="103"/>
      <c r="E62" s="103"/>
      <c r="F62" s="103"/>
      <c r="G62" s="103"/>
      <c r="H62" s="103"/>
      <c r="I62" s="104"/>
    </row>
    <row r="63" spans="1:9" ht="11.25">
      <c r="A63" s="60" t="s">
        <v>64</v>
      </c>
      <c r="B63" s="99" t="s">
        <v>51</v>
      </c>
      <c r="C63" s="99"/>
      <c r="D63" s="99"/>
      <c r="E63" s="76">
        <v>996</v>
      </c>
      <c r="F63" s="57" t="s">
        <v>16</v>
      </c>
      <c r="G63" s="89">
        <v>34.8</v>
      </c>
      <c r="H63" s="48" t="s">
        <v>18</v>
      </c>
      <c r="I63" s="80">
        <f>ROUND(E63*G63,2)</f>
        <v>34660.8</v>
      </c>
    </row>
    <row r="64" spans="1:9" ht="22.5">
      <c r="A64" s="61" t="s">
        <v>52</v>
      </c>
      <c r="B64" s="98" t="s">
        <v>53</v>
      </c>
      <c r="C64" s="98"/>
      <c r="D64" s="98"/>
      <c r="E64" s="76">
        <v>3522590</v>
      </c>
      <c r="F64" s="57" t="s">
        <v>0</v>
      </c>
      <c r="G64" s="89">
        <v>3.642</v>
      </c>
      <c r="H64" s="48" t="s">
        <v>6</v>
      </c>
      <c r="I64" s="80">
        <f>ROUND(E64*G64/100,2)</f>
        <v>128292.73</v>
      </c>
    </row>
    <row r="65" spans="1:9" ht="11.25">
      <c r="A65" s="60" t="s">
        <v>64</v>
      </c>
      <c r="B65" s="99" t="s">
        <v>51</v>
      </c>
      <c r="C65" s="99"/>
      <c r="D65" s="99"/>
      <c r="E65" s="76">
        <v>252</v>
      </c>
      <c r="F65" s="57" t="s">
        <v>16</v>
      </c>
      <c r="G65" s="89">
        <v>42.23</v>
      </c>
      <c r="H65" s="48" t="s">
        <v>18</v>
      </c>
      <c r="I65" s="80">
        <f>ROUND(E65*G65,2)</f>
        <v>10641.96</v>
      </c>
    </row>
    <row r="66" spans="1:9" ht="11.25">
      <c r="A66" s="61" t="s">
        <v>54</v>
      </c>
      <c r="B66" s="98" t="s">
        <v>53</v>
      </c>
      <c r="C66" s="98"/>
      <c r="D66" s="98"/>
      <c r="E66" s="76">
        <v>862241</v>
      </c>
      <c r="F66" s="57" t="s">
        <v>0</v>
      </c>
      <c r="G66" s="89">
        <v>4.419</v>
      </c>
      <c r="H66" s="48" t="s">
        <v>6</v>
      </c>
      <c r="I66" s="80">
        <f>ROUND(E66*G66/100,2)</f>
        <v>38102.43</v>
      </c>
    </row>
    <row r="67" spans="1:9" ht="22.5">
      <c r="A67" s="60" t="s">
        <v>65</v>
      </c>
      <c r="B67" s="99" t="s">
        <v>51</v>
      </c>
      <c r="C67" s="99"/>
      <c r="D67" s="99"/>
      <c r="E67" s="56">
        <v>72</v>
      </c>
      <c r="F67" s="57" t="s">
        <v>16</v>
      </c>
      <c r="G67" s="89" t="s">
        <v>73</v>
      </c>
      <c r="H67" s="48" t="s">
        <v>18</v>
      </c>
      <c r="I67" s="58">
        <f>(0.98*34.8+0.02*42.23)*12*6</f>
        <v>2516.2992</v>
      </c>
    </row>
    <row r="68" spans="1:9" ht="33.75">
      <c r="A68" s="61" t="s">
        <v>72</v>
      </c>
      <c r="B68" s="98" t="s">
        <v>53</v>
      </c>
      <c r="C68" s="98"/>
      <c r="D68" s="98"/>
      <c r="E68" s="56">
        <v>226360</v>
      </c>
      <c r="F68" s="57" t="s">
        <v>0</v>
      </c>
      <c r="G68" s="89" t="s">
        <v>74</v>
      </c>
      <c r="H68" s="48" t="s">
        <v>6</v>
      </c>
      <c r="I68" s="58">
        <f>ROUND((0.98*3.642+0.02*4.419)*226360/100,2)</f>
        <v>8279.21</v>
      </c>
    </row>
    <row r="69" spans="1:9" ht="22.5">
      <c r="A69" s="60" t="s">
        <v>65</v>
      </c>
      <c r="B69" s="99" t="s">
        <v>51</v>
      </c>
      <c r="C69" s="99"/>
      <c r="D69" s="99"/>
      <c r="E69" s="56">
        <v>12</v>
      </c>
      <c r="F69" s="57" t="s">
        <v>16</v>
      </c>
      <c r="G69" s="89" t="s">
        <v>165</v>
      </c>
      <c r="H69" s="48" t="s">
        <v>18</v>
      </c>
      <c r="I69" s="58">
        <f>(0.9759*34.8+0.0241*42.23)*12</f>
        <v>419.74875599999996</v>
      </c>
    </row>
    <row r="70" spans="1:11" ht="33.75">
      <c r="A70" s="61" t="s">
        <v>75</v>
      </c>
      <c r="B70" s="98" t="s">
        <v>53</v>
      </c>
      <c r="C70" s="98"/>
      <c r="D70" s="98"/>
      <c r="E70" s="56">
        <v>40835</v>
      </c>
      <c r="F70" s="57" t="s">
        <v>0</v>
      </c>
      <c r="G70" s="89" t="s">
        <v>166</v>
      </c>
      <c r="H70" s="48" t="s">
        <v>6</v>
      </c>
      <c r="I70" s="58">
        <f>ROUND((0.9759*3.642+0.0241*4.419)*40835/100,2)</f>
        <v>1494.86</v>
      </c>
      <c r="K70" s="3"/>
    </row>
    <row r="71" spans="1:9" ht="22.5">
      <c r="A71" s="60" t="s">
        <v>65</v>
      </c>
      <c r="B71" s="99" t="s">
        <v>51</v>
      </c>
      <c r="C71" s="99"/>
      <c r="D71" s="99"/>
      <c r="E71" s="56">
        <v>12</v>
      </c>
      <c r="F71" s="57" t="s">
        <v>16</v>
      </c>
      <c r="G71" s="89" t="s">
        <v>77</v>
      </c>
      <c r="H71" s="48" t="s">
        <v>18</v>
      </c>
      <c r="I71" s="58">
        <f>(0.9*34.8+0.1*42.23)*12</f>
        <v>426.51599999999996</v>
      </c>
    </row>
    <row r="72" spans="1:9" ht="33.75">
      <c r="A72" s="61" t="s">
        <v>76</v>
      </c>
      <c r="B72" s="98" t="s">
        <v>53</v>
      </c>
      <c r="C72" s="98"/>
      <c r="D72" s="98"/>
      <c r="E72" s="56">
        <v>28648</v>
      </c>
      <c r="F72" s="57" t="s">
        <v>0</v>
      </c>
      <c r="G72" s="89" t="s">
        <v>78</v>
      </c>
      <c r="H72" s="48" t="s">
        <v>6</v>
      </c>
      <c r="I72" s="58">
        <f>ROUND((0.9*3.642+0.1*4.419)*28648/100,2)</f>
        <v>1065.62</v>
      </c>
    </row>
    <row r="73" spans="1:9" ht="22.5">
      <c r="A73" s="60" t="s">
        <v>65</v>
      </c>
      <c r="B73" s="99" t="s">
        <v>51</v>
      </c>
      <c r="C73" s="99"/>
      <c r="D73" s="99"/>
      <c r="E73" s="56">
        <v>12</v>
      </c>
      <c r="F73" s="57" t="s">
        <v>16</v>
      </c>
      <c r="G73" s="89" t="s">
        <v>80</v>
      </c>
      <c r="H73" s="48" t="s">
        <v>18</v>
      </c>
      <c r="I73" s="58">
        <f>(0.8838*34.8+0.1162*42.23)*12</f>
        <v>427.96039199999996</v>
      </c>
    </row>
    <row r="74" spans="1:9" ht="33.75">
      <c r="A74" s="61" t="s">
        <v>79</v>
      </c>
      <c r="B74" s="98" t="s">
        <v>53</v>
      </c>
      <c r="C74" s="98"/>
      <c r="D74" s="98"/>
      <c r="E74" s="56">
        <v>41153</v>
      </c>
      <c r="F74" s="57" t="s">
        <v>0</v>
      </c>
      <c r="G74" s="89" t="s">
        <v>84</v>
      </c>
      <c r="H74" s="48" t="s">
        <v>6</v>
      </c>
      <c r="I74" s="58">
        <f>ROUND((0.8838*3.642+0.1162*4.419)*41153/100,2)</f>
        <v>1535.95</v>
      </c>
    </row>
    <row r="75" spans="1:9" ht="22.5">
      <c r="A75" s="96" t="s">
        <v>65</v>
      </c>
      <c r="B75" s="99" t="s">
        <v>51</v>
      </c>
      <c r="C75" s="99"/>
      <c r="D75" s="99"/>
      <c r="E75" s="56">
        <v>12</v>
      </c>
      <c r="F75" s="57" t="s">
        <v>16</v>
      </c>
      <c r="G75" s="89" t="s">
        <v>82</v>
      </c>
      <c r="H75" s="48" t="s">
        <v>18</v>
      </c>
      <c r="I75" s="58">
        <f>(0.8024*34.8+0.1976*42.23)*12</f>
        <v>435.2180159999999</v>
      </c>
    </row>
    <row r="76" spans="1:9" ht="33.75">
      <c r="A76" s="96" t="s">
        <v>81</v>
      </c>
      <c r="B76" s="98" t="s">
        <v>53</v>
      </c>
      <c r="C76" s="98"/>
      <c r="D76" s="98"/>
      <c r="E76" s="56">
        <v>66439</v>
      </c>
      <c r="F76" s="57" t="s">
        <v>0</v>
      </c>
      <c r="G76" s="89" t="s">
        <v>83</v>
      </c>
      <c r="H76" s="48" t="s">
        <v>6</v>
      </c>
      <c r="I76" s="58">
        <f>ROUND((0.8024*3.642+0.1976*4.419)*66439/100,2)</f>
        <v>2521.72</v>
      </c>
    </row>
    <row r="77" spans="1:9" ht="22.5">
      <c r="A77" s="60" t="s">
        <v>65</v>
      </c>
      <c r="B77" s="99" t="s">
        <v>51</v>
      </c>
      <c r="C77" s="99"/>
      <c r="D77" s="99"/>
      <c r="E77" s="56">
        <v>12</v>
      </c>
      <c r="F77" s="57" t="s">
        <v>16</v>
      </c>
      <c r="G77" s="89" t="s">
        <v>86</v>
      </c>
      <c r="H77" s="48" t="s">
        <v>18</v>
      </c>
      <c r="I77" s="58">
        <f>(0.7*34.8+0.3*42.23)*12</f>
        <v>444.34799999999996</v>
      </c>
    </row>
    <row r="78" spans="1:9" ht="33.75">
      <c r="A78" s="61" t="s">
        <v>85</v>
      </c>
      <c r="B78" s="98" t="s">
        <v>53</v>
      </c>
      <c r="C78" s="98"/>
      <c r="D78" s="98"/>
      <c r="E78" s="56">
        <v>36685</v>
      </c>
      <c r="F78" s="57" t="s">
        <v>0</v>
      </c>
      <c r="G78" s="89" t="s">
        <v>87</v>
      </c>
      <c r="H78" s="48" t="s">
        <v>6</v>
      </c>
      <c r="I78" s="58">
        <f>ROUND((0.7*3.642+0.3*4.419)*36685/100,2)</f>
        <v>1421.58</v>
      </c>
    </row>
    <row r="79" spans="1:9" ht="22.5">
      <c r="A79" s="60" t="s">
        <v>65</v>
      </c>
      <c r="B79" s="99" t="s">
        <v>51</v>
      </c>
      <c r="C79" s="99"/>
      <c r="D79" s="99"/>
      <c r="E79" s="56">
        <v>12</v>
      </c>
      <c r="F79" s="57" t="s">
        <v>16</v>
      </c>
      <c r="G79" s="89" t="s">
        <v>89</v>
      </c>
      <c r="H79" s="48" t="s">
        <v>18</v>
      </c>
      <c r="I79" s="58">
        <f>(0.6749*34.8+0.3251*42.23)*12</f>
        <v>446.58591599999994</v>
      </c>
    </row>
    <row r="80" spans="1:9" ht="33.75">
      <c r="A80" s="61" t="s">
        <v>88</v>
      </c>
      <c r="B80" s="98" t="s">
        <v>53</v>
      </c>
      <c r="C80" s="98"/>
      <c r="D80" s="98"/>
      <c r="E80" s="56">
        <v>41040</v>
      </c>
      <c r="F80" s="57" t="s">
        <v>0</v>
      </c>
      <c r="G80" s="89" t="s">
        <v>90</v>
      </c>
      <c r="H80" s="48" t="s">
        <v>6</v>
      </c>
      <c r="I80" s="58">
        <f>ROUND((0.6749*3.642+0.3251*4.419)*41040/100,2)</f>
        <v>1598.34</v>
      </c>
    </row>
    <row r="81" spans="1:9" ht="22.5">
      <c r="A81" s="60" t="s">
        <v>65</v>
      </c>
      <c r="B81" s="99" t="s">
        <v>51</v>
      </c>
      <c r="C81" s="99"/>
      <c r="D81" s="99"/>
      <c r="E81" s="76">
        <v>24</v>
      </c>
      <c r="F81" s="57" t="s">
        <v>16</v>
      </c>
      <c r="G81" s="88" t="s">
        <v>270</v>
      </c>
      <c r="H81" s="48" t="s">
        <v>18</v>
      </c>
      <c r="I81" s="80">
        <f>(0.5*34.8+0.5*42.23)*12*2</f>
        <v>924.36</v>
      </c>
    </row>
    <row r="82" spans="1:9" ht="33.75">
      <c r="A82" s="61" t="s">
        <v>55</v>
      </c>
      <c r="B82" s="98" t="s">
        <v>53</v>
      </c>
      <c r="C82" s="98"/>
      <c r="D82" s="98"/>
      <c r="E82" s="76">
        <v>41862</v>
      </c>
      <c r="F82" s="57" t="s">
        <v>0</v>
      </c>
      <c r="G82" s="88" t="s">
        <v>271</v>
      </c>
      <c r="H82" s="48" t="s">
        <v>6</v>
      </c>
      <c r="I82" s="80">
        <f>ROUND((0.5*3.642+0.5*4.419)*41862/100,2)</f>
        <v>1687.25</v>
      </c>
    </row>
    <row r="83" spans="1:9" ht="22.5">
      <c r="A83" s="60" t="s">
        <v>65</v>
      </c>
      <c r="B83" s="100" t="s">
        <v>51</v>
      </c>
      <c r="C83" s="100"/>
      <c r="D83" s="100"/>
      <c r="E83" s="56">
        <v>12</v>
      </c>
      <c r="F83" s="57" t="s">
        <v>16</v>
      </c>
      <c r="G83" s="89" t="s">
        <v>92</v>
      </c>
      <c r="H83" s="48" t="s">
        <v>18</v>
      </c>
      <c r="I83" s="58">
        <f>(0.3147*34.8+0.6853*42.23)*12</f>
        <v>478.701348</v>
      </c>
    </row>
    <row r="84" spans="1:9" ht="33.75">
      <c r="A84" s="61" t="s">
        <v>91</v>
      </c>
      <c r="B84" s="100" t="s">
        <v>53</v>
      </c>
      <c r="C84" s="100"/>
      <c r="D84" s="100"/>
      <c r="E84" s="56">
        <v>116611</v>
      </c>
      <c r="F84" s="57" t="s">
        <v>0</v>
      </c>
      <c r="G84" s="89" t="s">
        <v>93</v>
      </c>
      <c r="H84" s="48" t="s">
        <v>6</v>
      </c>
      <c r="I84" s="58">
        <f>ROUND((0.3147*3.642+0.6853*4.419)*116611/100,2)</f>
        <v>4867.9</v>
      </c>
    </row>
    <row r="85" spans="1:9" ht="11.25">
      <c r="A85" s="102" t="s">
        <v>58</v>
      </c>
      <c r="B85" s="103"/>
      <c r="C85" s="103"/>
      <c r="D85" s="103"/>
      <c r="E85" s="103"/>
      <c r="F85" s="103"/>
      <c r="G85" s="103"/>
      <c r="H85" s="103"/>
      <c r="I85" s="104"/>
    </row>
    <row r="86" spans="1:9" ht="11.25">
      <c r="A86" s="60" t="s">
        <v>64</v>
      </c>
      <c r="B86" s="99" t="s">
        <v>51</v>
      </c>
      <c r="C86" s="99"/>
      <c r="D86" s="99"/>
      <c r="E86" s="56">
        <v>12</v>
      </c>
      <c r="F86" s="57" t="s">
        <v>16</v>
      </c>
      <c r="G86" s="89">
        <v>36.44</v>
      </c>
      <c r="H86" s="48" t="s">
        <v>18</v>
      </c>
      <c r="I86" s="58">
        <f>ROUND(E86*G86,2)</f>
        <v>437.28</v>
      </c>
    </row>
    <row r="87" spans="1:9" ht="22.5">
      <c r="A87" s="61" t="s">
        <v>52</v>
      </c>
      <c r="B87" s="98" t="s">
        <v>53</v>
      </c>
      <c r="C87" s="98"/>
      <c r="D87" s="98"/>
      <c r="E87" s="56">
        <v>65835</v>
      </c>
      <c r="F87" s="57" t="s">
        <v>0</v>
      </c>
      <c r="G87" s="89">
        <v>3.642</v>
      </c>
      <c r="H87" s="48" t="s">
        <v>6</v>
      </c>
      <c r="I87" s="58">
        <f>ROUND(E87*G87/100,2)</f>
        <v>2397.71</v>
      </c>
    </row>
    <row r="88" spans="1:9" ht="22.5">
      <c r="A88" s="60" t="s">
        <v>65</v>
      </c>
      <c r="B88" s="99" t="s">
        <v>51</v>
      </c>
      <c r="C88" s="99"/>
      <c r="D88" s="99"/>
      <c r="E88" s="56">
        <v>12</v>
      </c>
      <c r="F88" s="57" t="s">
        <v>16</v>
      </c>
      <c r="G88" s="89" t="s">
        <v>95</v>
      </c>
      <c r="H88" s="48" t="s">
        <v>18</v>
      </c>
      <c r="I88" s="58">
        <f>(0.6058*36.44+0.3942*44.22)*12</f>
        <v>474.08251199999995</v>
      </c>
    </row>
    <row r="89" spans="1:9" ht="33.75">
      <c r="A89" s="61" t="s">
        <v>94</v>
      </c>
      <c r="B89" s="98" t="s">
        <v>53</v>
      </c>
      <c r="C89" s="98"/>
      <c r="D89" s="98"/>
      <c r="E89" s="56">
        <v>83095</v>
      </c>
      <c r="F89" s="57" t="s">
        <v>0</v>
      </c>
      <c r="G89" s="89" t="s">
        <v>96</v>
      </c>
      <c r="H89" s="48" t="s">
        <v>6</v>
      </c>
      <c r="I89" s="58">
        <f>ROUND((0.6058*3.642+0.3942*4.419)*83095/100,2)</f>
        <v>3280.83</v>
      </c>
    </row>
    <row r="90" spans="1:9" ht="11.25">
      <c r="A90" s="102" t="s">
        <v>59</v>
      </c>
      <c r="B90" s="103"/>
      <c r="C90" s="103"/>
      <c r="D90" s="103"/>
      <c r="E90" s="103"/>
      <c r="F90" s="103"/>
      <c r="G90" s="103"/>
      <c r="H90" s="103"/>
      <c r="I90" s="104"/>
    </row>
    <row r="91" spans="1:9" ht="11.25">
      <c r="A91" s="62" t="s">
        <v>64</v>
      </c>
      <c r="B91" s="105" t="s">
        <v>51</v>
      </c>
      <c r="C91" s="105"/>
      <c r="D91" s="105"/>
      <c r="E91" s="76">
        <v>204</v>
      </c>
      <c r="F91" s="57" t="s">
        <v>16</v>
      </c>
      <c r="G91" s="89">
        <v>187.54</v>
      </c>
      <c r="H91" s="48" t="s">
        <v>18</v>
      </c>
      <c r="I91" s="80">
        <f>ROUND(E91*G91,2)</f>
        <v>38258.16</v>
      </c>
    </row>
    <row r="92" spans="1:9" ht="22.5">
      <c r="A92" s="61" t="s">
        <v>52</v>
      </c>
      <c r="B92" s="100" t="s">
        <v>53</v>
      </c>
      <c r="C92" s="100"/>
      <c r="D92" s="100"/>
      <c r="E92" s="76">
        <v>2228970</v>
      </c>
      <c r="F92" s="57" t="s">
        <v>0</v>
      </c>
      <c r="G92" s="89">
        <v>3.457</v>
      </c>
      <c r="H92" s="48" t="s">
        <v>6</v>
      </c>
      <c r="I92" s="80">
        <f>ROUND(E92*G92/100,2)</f>
        <v>77055.49</v>
      </c>
    </row>
    <row r="93" spans="1:9" ht="11.25">
      <c r="A93" s="60" t="s">
        <v>64</v>
      </c>
      <c r="B93" s="105" t="s">
        <v>51</v>
      </c>
      <c r="C93" s="105"/>
      <c r="D93" s="105"/>
      <c r="E93" s="76">
        <v>144</v>
      </c>
      <c r="F93" s="57" t="s">
        <v>16</v>
      </c>
      <c r="G93" s="89">
        <v>227.58</v>
      </c>
      <c r="H93" s="48" t="s">
        <v>18</v>
      </c>
      <c r="I93" s="80">
        <f>ROUND(E93*G93,2)</f>
        <v>32771.52</v>
      </c>
    </row>
    <row r="94" spans="1:9" ht="11.25">
      <c r="A94" s="61" t="s">
        <v>54</v>
      </c>
      <c r="B94" s="100" t="s">
        <v>53</v>
      </c>
      <c r="C94" s="100"/>
      <c r="D94" s="100"/>
      <c r="E94" s="76">
        <v>1753501</v>
      </c>
      <c r="F94" s="57" t="s">
        <v>0</v>
      </c>
      <c r="G94" s="89">
        <v>4.195</v>
      </c>
      <c r="H94" s="48" t="s">
        <v>6</v>
      </c>
      <c r="I94" s="80">
        <f>ROUND(E94*G94/100,2)</f>
        <v>73559.37</v>
      </c>
    </row>
    <row r="95" spans="1:9" ht="22.5">
      <c r="A95" s="60" t="s">
        <v>65</v>
      </c>
      <c r="B95" s="99" t="s">
        <v>51</v>
      </c>
      <c r="C95" s="99"/>
      <c r="D95" s="99"/>
      <c r="E95" s="56">
        <v>12</v>
      </c>
      <c r="F95" s="57" t="s">
        <v>16</v>
      </c>
      <c r="G95" s="89" t="s">
        <v>98</v>
      </c>
      <c r="H95" s="48" t="s">
        <v>18</v>
      </c>
      <c r="I95" s="58">
        <f>(0.8*187.54+0.2*227.58)*12</f>
        <v>2346.576</v>
      </c>
    </row>
    <row r="96" spans="1:9" ht="33.75">
      <c r="A96" s="61" t="s">
        <v>97</v>
      </c>
      <c r="B96" s="98" t="s">
        <v>53</v>
      </c>
      <c r="C96" s="98"/>
      <c r="D96" s="98"/>
      <c r="E96" s="56">
        <v>137530</v>
      </c>
      <c r="F96" s="57" t="s">
        <v>0</v>
      </c>
      <c r="G96" s="89" t="s">
        <v>99</v>
      </c>
      <c r="H96" s="48" t="s">
        <v>6</v>
      </c>
      <c r="I96" s="58">
        <f>ROUND((0.8*3.457+0.2*4.195)*137530/100,2)</f>
        <v>4957.41</v>
      </c>
    </row>
    <row r="97" spans="1:9" ht="22.5">
      <c r="A97" s="60" t="s">
        <v>65</v>
      </c>
      <c r="B97" s="99" t="s">
        <v>51</v>
      </c>
      <c r="C97" s="99"/>
      <c r="D97" s="99"/>
      <c r="E97" s="56">
        <v>12</v>
      </c>
      <c r="F97" s="57" t="s">
        <v>16</v>
      </c>
      <c r="G97" s="89" t="s">
        <v>101</v>
      </c>
      <c r="H97" s="48" t="s">
        <v>18</v>
      </c>
      <c r="I97" s="58">
        <f>(0.7757*187.54+0.2243*227.58)*12</f>
        <v>2358.2516639999994</v>
      </c>
    </row>
    <row r="98" spans="1:9" ht="33.75">
      <c r="A98" s="61" t="s">
        <v>100</v>
      </c>
      <c r="B98" s="98" t="s">
        <v>53</v>
      </c>
      <c r="C98" s="98"/>
      <c r="D98" s="98"/>
      <c r="E98" s="56">
        <v>101826</v>
      </c>
      <c r="F98" s="57" t="s">
        <v>0</v>
      </c>
      <c r="G98" s="89" t="s">
        <v>102</v>
      </c>
      <c r="H98" s="48" t="s">
        <v>6</v>
      </c>
      <c r="I98" s="58">
        <f>ROUND((0.7757*3.457+0.2243*4.195)*101826/100,2)</f>
        <v>3688.68</v>
      </c>
    </row>
    <row r="99" spans="1:9" ht="22.5">
      <c r="A99" s="60" t="s">
        <v>65</v>
      </c>
      <c r="B99" s="99" t="s">
        <v>51</v>
      </c>
      <c r="C99" s="99"/>
      <c r="D99" s="99"/>
      <c r="E99" s="56">
        <v>12</v>
      </c>
      <c r="F99" s="57" t="s">
        <v>16</v>
      </c>
      <c r="G99" s="89" t="s">
        <v>104</v>
      </c>
      <c r="H99" s="48" t="s">
        <v>18</v>
      </c>
      <c r="I99" s="58">
        <f>(0.6*187.54+0.4*227.58)*12</f>
        <v>2442.6719999999996</v>
      </c>
    </row>
    <row r="100" spans="1:9" ht="33.75">
      <c r="A100" s="61" t="s">
        <v>103</v>
      </c>
      <c r="B100" s="98" t="s">
        <v>53</v>
      </c>
      <c r="C100" s="98"/>
      <c r="D100" s="98"/>
      <c r="E100" s="56">
        <v>253573</v>
      </c>
      <c r="F100" s="57" t="s">
        <v>0</v>
      </c>
      <c r="G100" s="89" t="s">
        <v>105</v>
      </c>
      <c r="H100" s="48" t="s">
        <v>6</v>
      </c>
      <c r="I100" s="58">
        <f>ROUND((0.6*3.457+0.4*4.195)*253573/100,2)</f>
        <v>9514.57</v>
      </c>
    </row>
    <row r="101" spans="1:9" ht="22.5">
      <c r="A101" s="60" t="s">
        <v>65</v>
      </c>
      <c r="B101" s="99" t="s">
        <v>51</v>
      </c>
      <c r="C101" s="99"/>
      <c r="D101" s="99"/>
      <c r="E101" s="56">
        <v>12</v>
      </c>
      <c r="F101" s="57" t="s">
        <v>16</v>
      </c>
      <c r="G101" s="89" t="s">
        <v>107</v>
      </c>
      <c r="H101" s="48" t="s">
        <v>18</v>
      </c>
      <c r="I101" s="58">
        <f>(0.5*187.54+0.5*227.58)*12</f>
        <v>2490.7200000000003</v>
      </c>
    </row>
    <row r="102" spans="1:9" ht="33.75">
      <c r="A102" s="61" t="s">
        <v>106</v>
      </c>
      <c r="B102" s="98" t="s">
        <v>53</v>
      </c>
      <c r="C102" s="98"/>
      <c r="D102" s="98"/>
      <c r="E102" s="56">
        <v>114616</v>
      </c>
      <c r="F102" s="57" t="s">
        <v>0</v>
      </c>
      <c r="G102" s="89" t="s">
        <v>108</v>
      </c>
      <c r="H102" s="48" t="s">
        <v>6</v>
      </c>
      <c r="I102" s="58">
        <f>ROUND((0.5*3.457+0.5*4.195)*114616/100,2)</f>
        <v>4385.21</v>
      </c>
    </row>
    <row r="103" spans="1:9" ht="22.5">
      <c r="A103" s="60" t="s">
        <v>65</v>
      </c>
      <c r="B103" s="99" t="s">
        <v>51</v>
      </c>
      <c r="C103" s="99"/>
      <c r="D103" s="99"/>
      <c r="E103" s="56">
        <v>12</v>
      </c>
      <c r="F103" s="57" t="s">
        <v>16</v>
      </c>
      <c r="G103" s="89" t="s">
        <v>110</v>
      </c>
      <c r="H103" s="48" t="s">
        <v>18</v>
      </c>
      <c r="I103" s="58">
        <f>(0.23*187.54+0.77*227.58)*12</f>
        <v>2620.4496</v>
      </c>
    </row>
    <row r="104" spans="1:9" ht="33.75">
      <c r="A104" s="61" t="s">
        <v>109</v>
      </c>
      <c r="B104" s="98" t="s">
        <v>53</v>
      </c>
      <c r="C104" s="98"/>
      <c r="D104" s="98"/>
      <c r="E104" s="56">
        <v>118961</v>
      </c>
      <c r="F104" s="57" t="s">
        <v>0</v>
      </c>
      <c r="G104" s="89" t="s">
        <v>111</v>
      </c>
      <c r="H104" s="48" t="s">
        <v>6</v>
      </c>
      <c r="I104" s="58">
        <f>ROUND((0.23*3.457+0.77*4.195)*118961/100,2)</f>
        <v>4788.49</v>
      </c>
    </row>
    <row r="105" spans="1:9" ht="11.25">
      <c r="A105" s="101" t="s">
        <v>61</v>
      </c>
      <c r="B105" s="101"/>
      <c r="C105" s="101"/>
      <c r="D105" s="101"/>
      <c r="E105" s="101"/>
      <c r="F105" s="101"/>
      <c r="G105" s="101"/>
      <c r="H105" s="101"/>
      <c r="I105" s="101"/>
    </row>
    <row r="106" spans="1:12" ht="22.5">
      <c r="A106" s="60" t="s">
        <v>64</v>
      </c>
      <c r="B106" s="99" t="s">
        <v>51</v>
      </c>
      <c r="C106" s="99"/>
      <c r="D106" s="99"/>
      <c r="E106" s="50">
        <v>120639456</v>
      </c>
      <c r="F106" s="57" t="s">
        <v>62</v>
      </c>
      <c r="G106" s="89">
        <v>0.565</v>
      </c>
      <c r="H106" s="48" t="s">
        <v>63</v>
      </c>
      <c r="I106" s="52">
        <f>ROUND(E106*G106/100,2)</f>
        <v>681612.93</v>
      </c>
      <c r="L106" s="2"/>
    </row>
    <row r="107" spans="1:12" ht="22.5">
      <c r="A107" s="61" t="s">
        <v>52</v>
      </c>
      <c r="B107" s="98" t="s">
        <v>53</v>
      </c>
      <c r="C107" s="98"/>
      <c r="D107" s="98"/>
      <c r="E107" s="56">
        <v>24440548</v>
      </c>
      <c r="F107" s="57" t="s">
        <v>0</v>
      </c>
      <c r="G107" s="89">
        <v>2.416</v>
      </c>
      <c r="H107" s="48" t="s">
        <v>6</v>
      </c>
      <c r="I107" s="52">
        <f>ROUND(E107*G107/100,2)</f>
        <v>590483.64</v>
      </c>
      <c r="L107" s="2"/>
    </row>
    <row r="108" spans="1:9" ht="22.5">
      <c r="A108" s="60" t="s">
        <v>64</v>
      </c>
      <c r="B108" s="99" t="s">
        <v>51</v>
      </c>
      <c r="C108" s="99"/>
      <c r="D108" s="99"/>
      <c r="E108" s="50">
        <v>14230080</v>
      </c>
      <c r="F108" s="57" t="s">
        <v>62</v>
      </c>
      <c r="G108" s="89">
        <v>0.686</v>
      </c>
      <c r="H108" s="48" t="s">
        <v>63</v>
      </c>
      <c r="I108" s="52">
        <f>ROUND(E108*G108/100,2)</f>
        <v>97618.35</v>
      </c>
    </row>
    <row r="109" spans="1:9" ht="11.25">
      <c r="A109" s="61" t="s">
        <v>54</v>
      </c>
      <c r="B109" s="98" t="s">
        <v>53</v>
      </c>
      <c r="C109" s="98"/>
      <c r="D109" s="98"/>
      <c r="E109" s="56">
        <v>2194160</v>
      </c>
      <c r="F109" s="57" t="s">
        <v>0</v>
      </c>
      <c r="G109" s="89">
        <v>2.932</v>
      </c>
      <c r="H109" s="48" t="s">
        <v>6</v>
      </c>
      <c r="I109" s="52">
        <f>ROUND(E109*G109/100,2)</f>
        <v>64332.77</v>
      </c>
    </row>
    <row r="110" spans="1:9" ht="22.5">
      <c r="A110" s="60" t="s">
        <v>65</v>
      </c>
      <c r="B110" s="99" t="s">
        <v>51</v>
      </c>
      <c r="C110" s="99"/>
      <c r="D110" s="99"/>
      <c r="E110" s="56">
        <v>2213568</v>
      </c>
      <c r="F110" s="57" t="s">
        <v>62</v>
      </c>
      <c r="G110" s="89" t="s">
        <v>113</v>
      </c>
      <c r="H110" s="48" t="s">
        <v>63</v>
      </c>
      <c r="I110" s="52">
        <f>ROUND(((363*24*252*0.565)+(3*24*252*0.686))/100,2)</f>
        <v>12528.61</v>
      </c>
    </row>
    <row r="111" spans="1:9" ht="33.75">
      <c r="A111" s="61" t="s">
        <v>112</v>
      </c>
      <c r="B111" s="98" t="s">
        <v>53</v>
      </c>
      <c r="C111" s="98"/>
      <c r="D111" s="98"/>
      <c r="E111" s="56">
        <v>331639</v>
      </c>
      <c r="F111" s="57" t="s">
        <v>0</v>
      </c>
      <c r="G111" s="89" t="s">
        <v>164</v>
      </c>
      <c r="H111" s="48" t="s">
        <v>6</v>
      </c>
      <c r="I111" s="52">
        <f>ROUND((0.993*2.416+0.007*2.932)*331639/100,2)</f>
        <v>8024.38</v>
      </c>
    </row>
    <row r="112" spans="1:9" ht="22.5">
      <c r="A112" s="96" t="s">
        <v>65</v>
      </c>
      <c r="B112" s="99" t="s">
        <v>51</v>
      </c>
      <c r="C112" s="99"/>
      <c r="D112" s="99"/>
      <c r="E112" s="56">
        <v>7229232</v>
      </c>
      <c r="F112" s="57" t="s">
        <v>62</v>
      </c>
      <c r="G112" s="89" t="s">
        <v>115</v>
      </c>
      <c r="H112" s="48" t="s">
        <v>63</v>
      </c>
      <c r="I112" s="52">
        <f>ROUND(((362*24*823*0.565)+(4*24*823*0.686))/100,2)</f>
        <v>40940.76</v>
      </c>
    </row>
    <row r="113" spans="1:9" ht="33.75">
      <c r="A113" s="96" t="s">
        <v>114</v>
      </c>
      <c r="B113" s="98" t="s">
        <v>53</v>
      </c>
      <c r="C113" s="98"/>
      <c r="D113" s="98"/>
      <c r="E113" s="56">
        <v>461211</v>
      </c>
      <c r="F113" s="57" t="s">
        <v>0</v>
      </c>
      <c r="G113" s="89" t="s">
        <v>116</v>
      </c>
      <c r="H113" s="48" t="s">
        <v>6</v>
      </c>
      <c r="I113" s="52">
        <f>ROUND((0.99*2.416+0.01*2.932)*461211/100,2)</f>
        <v>11166.66</v>
      </c>
    </row>
    <row r="114" spans="1:9" ht="22.5">
      <c r="A114" s="60" t="s">
        <v>65</v>
      </c>
      <c r="B114" s="99" t="s">
        <v>51</v>
      </c>
      <c r="C114" s="99"/>
      <c r="D114" s="99"/>
      <c r="E114" s="56">
        <v>2793312</v>
      </c>
      <c r="F114" s="57" t="s">
        <v>62</v>
      </c>
      <c r="G114" s="89" t="s">
        <v>118</v>
      </c>
      <c r="H114" s="48" t="s">
        <v>63</v>
      </c>
      <c r="I114" s="52">
        <f>ROUND(((358*24*318*0.565)+(8*24*318*0.686))/100,2)</f>
        <v>15856.09</v>
      </c>
    </row>
    <row r="115" spans="1:9" ht="33.75">
      <c r="A115" s="61" t="s">
        <v>117</v>
      </c>
      <c r="B115" s="98" t="s">
        <v>53</v>
      </c>
      <c r="C115" s="98"/>
      <c r="D115" s="98"/>
      <c r="E115" s="56">
        <v>318870</v>
      </c>
      <c r="F115" s="57" t="s">
        <v>0</v>
      </c>
      <c r="G115" s="89" t="s">
        <v>121</v>
      </c>
      <c r="H115" s="48" t="s">
        <v>6</v>
      </c>
      <c r="I115" s="52">
        <f>ROUND((0.9783*2.416+0.0217*2.932)*318870/100,2)</f>
        <v>7739.6</v>
      </c>
    </row>
    <row r="116" spans="1:9" ht="22.5">
      <c r="A116" s="60" t="s">
        <v>65</v>
      </c>
      <c r="B116" s="99" t="s">
        <v>51</v>
      </c>
      <c r="C116" s="99"/>
      <c r="D116" s="99"/>
      <c r="E116" s="56">
        <v>2406816</v>
      </c>
      <c r="F116" s="57" t="s">
        <v>62</v>
      </c>
      <c r="G116" s="89" t="s">
        <v>120</v>
      </c>
      <c r="H116" s="48" t="s">
        <v>63</v>
      </c>
      <c r="I116" s="52">
        <f>ROUND(((357*24*274*0.565)+(9*24*274*0.686))/100,2)</f>
        <v>13670.12</v>
      </c>
    </row>
    <row r="117" spans="1:9" ht="33.75">
      <c r="A117" s="61" t="s">
        <v>119</v>
      </c>
      <c r="B117" s="98" t="s">
        <v>53</v>
      </c>
      <c r="C117" s="98"/>
      <c r="D117" s="98"/>
      <c r="E117" s="56">
        <v>363034</v>
      </c>
      <c r="F117" s="57" t="s">
        <v>0</v>
      </c>
      <c r="G117" s="89" t="s">
        <v>122</v>
      </c>
      <c r="H117" s="48" t="s">
        <v>6</v>
      </c>
      <c r="I117" s="52">
        <f>ROUND((0.9745*2.416+0.0255*2.932)*363034/100,2)</f>
        <v>8818.67</v>
      </c>
    </row>
    <row r="118" spans="1:12" ht="22.5">
      <c r="A118" s="60" t="s">
        <v>65</v>
      </c>
      <c r="B118" s="99" t="s">
        <v>51</v>
      </c>
      <c r="C118" s="99"/>
      <c r="D118" s="99"/>
      <c r="E118" s="56">
        <v>2608848</v>
      </c>
      <c r="F118" s="57" t="s">
        <v>62</v>
      </c>
      <c r="G118" s="89" t="s">
        <v>219</v>
      </c>
      <c r="H118" s="48" t="s">
        <v>63</v>
      </c>
      <c r="I118" s="52">
        <f>ROUND(((355*24*297*0.565)+(11*24*297*0.686))/100,2)</f>
        <v>14834.86</v>
      </c>
      <c r="L118" s="2"/>
    </row>
    <row r="119" spans="1:12" ht="33.75">
      <c r="A119" s="61" t="s">
        <v>123</v>
      </c>
      <c r="B119" s="98" t="s">
        <v>53</v>
      </c>
      <c r="C119" s="98"/>
      <c r="D119" s="98"/>
      <c r="E119" s="56">
        <v>554268</v>
      </c>
      <c r="F119" s="57" t="s">
        <v>0</v>
      </c>
      <c r="G119" s="89" t="s">
        <v>220</v>
      </c>
      <c r="H119" s="48" t="s">
        <v>6</v>
      </c>
      <c r="I119" s="52">
        <f>ROUND((0.97*2.416+0.03*2.932)*554268/100,2)</f>
        <v>13476.92</v>
      </c>
      <c r="L119" s="2"/>
    </row>
    <row r="120" spans="1:9" ht="22.5">
      <c r="A120" s="96" t="s">
        <v>65</v>
      </c>
      <c r="B120" s="99" t="s">
        <v>51</v>
      </c>
      <c r="C120" s="99"/>
      <c r="D120" s="99"/>
      <c r="E120" s="56">
        <v>2793312</v>
      </c>
      <c r="F120" s="57" t="s">
        <v>62</v>
      </c>
      <c r="G120" s="89" t="s">
        <v>125</v>
      </c>
      <c r="H120" s="48" t="s">
        <v>63</v>
      </c>
      <c r="I120" s="52">
        <f>ROUND(((352*24*318*0.565)+(14*24*318*0.686))/100,2)</f>
        <v>15911.5</v>
      </c>
    </row>
    <row r="121" spans="1:9" ht="33.75">
      <c r="A121" s="96" t="s">
        <v>124</v>
      </c>
      <c r="B121" s="98" t="s">
        <v>53</v>
      </c>
      <c r="C121" s="98"/>
      <c r="D121" s="98"/>
      <c r="E121" s="56">
        <v>369691</v>
      </c>
      <c r="F121" s="57" t="s">
        <v>0</v>
      </c>
      <c r="G121" s="89" t="s">
        <v>126</v>
      </c>
      <c r="H121" s="48" t="s">
        <v>6</v>
      </c>
      <c r="I121" s="52">
        <f>ROUND((0.9608*2.416+0.0392*2.932)*369691/100,2)</f>
        <v>9006.51</v>
      </c>
    </row>
    <row r="122" spans="1:9" ht="22.5">
      <c r="A122" s="60" t="s">
        <v>65</v>
      </c>
      <c r="B122" s="99" t="s">
        <v>51</v>
      </c>
      <c r="C122" s="99"/>
      <c r="D122" s="99"/>
      <c r="E122" s="56">
        <v>4330512</v>
      </c>
      <c r="F122" s="57" t="s">
        <v>62</v>
      </c>
      <c r="G122" s="89" t="s">
        <v>128</v>
      </c>
      <c r="H122" s="48" t="s">
        <v>63</v>
      </c>
      <c r="I122" s="52">
        <f>ROUND(((348*24*493*0.565)+(18*24*493*0.686))/100,2)</f>
        <v>24725.09</v>
      </c>
    </row>
    <row r="123" spans="1:9" ht="33.75">
      <c r="A123" s="61" t="s">
        <v>127</v>
      </c>
      <c r="B123" s="98" t="s">
        <v>53</v>
      </c>
      <c r="C123" s="98"/>
      <c r="D123" s="98"/>
      <c r="E123" s="56">
        <v>1120550</v>
      </c>
      <c r="F123" s="57" t="s">
        <v>0</v>
      </c>
      <c r="G123" s="89" t="s">
        <v>129</v>
      </c>
      <c r="H123" s="48" t="s">
        <v>6</v>
      </c>
      <c r="I123" s="52">
        <f>ROUND((0.95*2.416+0.05*2.932)*1120550/100,2)</f>
        <v>27361.59</v>
      </c>
    </row>
    <row r="124" spans="1:9" ht="22.5">
      <c r="A124" s="60" t="s">
        <v>65</v>
      </c>
      <c r="B124" s="99" t="s">
        <v>51</v>
      </c>
      <c r="C124" s="99"/>
      <c r="D124" s="99"/>
      <c r="E124" s="56">
        <v>1642608</v>
      </c>
      <c r="F124" s="57" t="s">
        <v>62</v>
      </c>
      <c r="G124" s="89" t="s">
        <v>131</v>
      </c>
      <c r="H124" s="48" t="s">
        <v>63</v>
      </c>
      <c r="I124" s="52">
        <f>ROUND(((345*24*187*0.565)+(21*24*187*0.686))/100,2)</f>
        <v>9394.78</v>
      </c>
    </row>
    <row r="125" spans="1:9" ht="33.75">
      <c r="A125" s="61" t="s">
        <v>130</v>
      </c>
      <c r="B125" s="98" t="s">
        <v>53</v>
      </c>
      <c r="C125" s="98"/>
      <c r="D125" s="98"/>
      <c r="E125" s="56">
        <v>303115</v>
      </c>
      <c r="F125" s="57" t="s">
        <v>0</v>
      </c>
      <c r="G125" s="89" t="s">
        <v>132</v>
      </c>
      <c r="H125" s="48" t="s">
        <v>6</v>
      </c>
      <c r="I125" s="52">
        <f>ROUND((0.942*2.416+0.058*2.932)*303115/100,2)</f>
        <v>7413.97</v>
      </c>
    </row>
    <row r="126" spans="1:9" ht="22.5">
      <c r="A126" s="96" t="s">
        <v>65</v>
      </c>
      <c r="B126" s="99" t="s">
        <v>51</v>
      </c>
      <c r="C126" s="99"/>
      <c r="D126" s="99"/>
      <c r="E126" s="56">
        <v>975024</v>
      </c>
      <c r="F126" s="57" t="s">
        <v>62</v>
      </c>
      <c r="G126" s="89" t="s">
        <v>134</v>
      </c>
      <c r="H126" s="48" t="s">
        <v>63</v>
      </c>
      <c r="I126" s="52">
        <f>ROUND(((343*24*111*0.565)+(23*24*111*0.686))/100,2)</f>
        <v>5583.02</v>
      </c>
    </row>
    <row r="127" spans="1:9" ht="33.75">
      <c r="A127" s="96" t="s">
        <v>133</v>
      </c>
      <c r="B127" s="98" t="s">
        <v>53</v>
      </c>
      <c r="C127" s="98"/>
      <c r="D127" s="98"/>
      <c r="E127" s="56">
        <v>145304</v>
      </c>
      <c r="F127" s="57" t="s">
        <v>0</v>
      </c>
      <c r="G127" s="89" t="s">
        <v>135</v>
      </c>
      <c r="H127" s="48" t="s">
        <v>6</v>
      </c>
      <c r="I127" s="52">
        <f>ROUND((0.9374*2.416+0.0626*2.932)*145304/100,2)</f>
        <v>3557.48</v>
      </c>
    </row>
    <row r="128" spans="1:9" ht="22.5">
      <c r="A128" s="60" t="s">
        <v>65</v>
      </c>
      <c r="B128" s="99" t="s">
        <v>51</v>
      </c>
      <c r="C128" s="99"/>
      <c r="D128" s="99"/>
      <c r="E128" s="56">
        <v>2406816</v>
      </c>
      <c r="F128" s="57" t="s">
        <v>62</v>
      </c>
      <c r="G128" s="89" t="s">
        <v>137</v>
      </c>
      <c r="H128" s="48" t="s">
        <v>63</v>
      </c>
      <c r="I128" s="52">
        <f>ROUND(((343*24*274*0.565)+(23*24*274*0.686))/100,2)</f>
        <v>13781.52</v>
      </c>
    </row>
    <row r="129" spans="1:9" ht="33.75">
      <c r="A129" s="61" t="s">
        <v>136</v>
      </c>
      <c r="B129" s="98" t="s">
        <v>53</v>
      </c>
      <c r="C129" s="98"/>
      <c r="D129" s="98"/>
      <c r="E129" s="56">
        <v>326849</v>
      </c>
      <c r="F129" s="57" t="s">
        <v>0</v>
      </c>
      <c r="G129" s="89" t="s">
        <v>138</v>
      </c>
      <c r="H129" s="48" t="s">
        <v>6</v>
      </c>
      <c r="I129" s="52">
        <f>ROUND((0.9371*2.416+0.0629*2.932)*326849/100,2)</f>
        <v>8002.76</v>
      </c>
    </row>
    <row r="130" spans="1:9" ht="22.5">
      <c r="A130" s="60" t="s">
        <v>65</v>
      </c>
      <c r="B130" s="99" t="s">
        <v>51</v>
      </c>
      <c r="C130" s="99"/>
      <c r="D130" s="99"/>
      <c r="E130" s="56">
        <v>2020320</v>
      </c>
      <c r="F130" s="57" t="s">
        <v>62</v>
      </c>
      <c r="G130" s="89" t="s">
        <v>140</v>
      </c>
      <c r="H130" s="48" t="s">
        <v>63</v>
      </c>
      <c r="I130" s="52">
        <f>ROUND(((338*24*230*0.565)+(28*24*230*0.686))/100,2)</f>
        <v>11601.83</v>
      </c>
    </row>
    <row r="131" spans="1:9" ht="33.75">
      <c r="A131" s="61" t="s">
        <v>139</v>
      </c>
      <c r="B131" s="98" t="s">
        <v>53</v>
      </c>
      <c r="C131" s="98"/>
      <c r="D131" s="98"/>
      <c r="E131" s="56">
        <v>303719</v>
      </c>
      <c r="F131" s="57" t="s">
        <v>0</v>
      </c>
      <c r="G131" s="89" t="s">
        <v>141</v>
      </c>
      <c r="H131" s="48" t="s">
        <v>6</v>
      </c>
      <c r="I131" s="52">
        <f>ROUND((0.9241*2.416+0.0759*2.932)*303719/100,2)</f>
        <v>7456.8</v>
      </c>
    </row>
    <row r="132" spans="1:9" ht="22.5">
      <c r="A132" s="96" t="s">
        <v>65</v>
      </c>
      <c r="B132" s="99" t="s">
        <v>51</v>
      </c>
      <c r="C132" s="99"/>
      <c r="D132" s="99"/>
      <c r="E132" s="56">
        <v>4822416</v>
      </c>
      <c r="F132" s="57" t="s">
        <v>62</v>
      </c>
      <c r="G132" s="89" t="s">
        <v>143</v>
      </c>
      <c r="H132" s="48" t="s">
        <v>63</v>
      </c>
      <c r="I132" s="52">
        <f>ROUND(((335*24*549*0.565)+(31*24*549*0.686))/100,2)</f>
        <v>27740.88</v>
      </c>
    </row>
    <row r="133" spans="1:9" ht="33.75">
      <c r="A133" s="96" t="s">
        <v>142</v>
      </c>
      <c r="B133" s="98" t="s">
        <v>53</v>
      </c>
      <c r="C133" s="98"/>
      <c r="D133" s="98"/>
      <c r="E133" s="56">
        <v>971565</v>
      </c>
      <c r="F133" s="57" t="s">
        <v>0</v>
      </c>
      <c r="G133" s="89" t="s">
        <v>144</v>
      </c>
      <c r="H133" s="48" t="s">
        <v>6</v>
      </c>
      <c r="I133" s="52">
        <f>ROUND((0.9152*2.416+0.0848*2.932)*971565/100,2)</f>
        <v>23898.14</v>
      </c>
    </row>
    <row r="134" spans="1:9" ht="22.5">
      <c r="A134" s="60" t="s">
        <v>65</v>
      </c>
      <c r="B134" s="99" t="s">
        <v>51</v>
      </c>
      <c r="C134" s="99"/>
      <c r="D134" s="99"/>
      <c r="E134" s="56">
        <v>2986560</v>
      </c>
      <c r="F134" s="57" t="s">
        <v>62</v>
      </c>
      <c r="G134" s="89" t="s">
        <v>146</v>
      </c>
      <c r="H134" s="48" t="s">
        <v>63</v>
      </c>
      <c r="I134" s="52">
        <f>ROUND(((334*24*340*0.565)+(32*24*340*0.686))/100,2)</f>
        <v>17190.02</v>
      </c>
    </row>
    <row r="135" spans="1:9" ht="33.75">
      <c r="A135" s="61" t="s">
        <v>145</v>
      </c>
      <c r="B135" s="98" t="s">
        <v>53</v>
      </c>
      <c r="C135" s="98"/>
      <c r="D135" s="98"/>
      <c r="E135" s="56">
        <v>493916</v>
      </c>
      <c r="F135" s="57" t="s">
        <v>0</v>
      </c>
      <c r="G135" s="89" t="s">
        <v>147</v>
      </c>
      <c r="H135" s="48" t="s">
        <v>6</v>
      </c>
      <c r="I135" s="52">
        <f>ROUND((0.9125*2.416+0.0875*2.932)*493916/100,2)</f>
        <v>12156.01</v>
      </c>
    </row>
    <row r="136" spans="1:9" ht="22.5">
      <c r="A136" s="60" t="s">
        <v>65</v>
      </c>
      <c r="B136" s="99" t="s">
        <v>51</v>
      </c>
      <c r="C136" s="99"/>
      <c r="D136" s="99"/>
      <c r="E136" s="56">
        <v>9240768</v>
      </c>
      <c r="F136" s="57" t="s">
        <v>62</v>
      </c>
      <c r="G136" s="89" t="s">
        <v>149</v>
      </c>
      <c r="H136" s="48" t="s">
        <v>63</v>
      </c>
      <c r="I136" s="52">
        <f>ROUND(((329*24*1052*0.565)+(37*24*1052*0.686))/100,2)</f>
        <v>53340.69</v>
      </c>
    </row>
    <row r="137" spans="1:9" ht="33.75">
      <c r="A137" s="61" t="s">
        <v>148</v>
      </c>
      <c r="B137" s="98" t="s">
        <v>53</v>
      </c>
      <c r="C137" s="98"/>
      <c r="D137" s="98"/>
      <c r="E137" s="56">
        <v>2347577</v>
      </c>
      <c r="F137" s="57" t="s">
        <v>0</v>
      </c>
      <c r="G137" s="89" t="s">
        <v>150</v>
      </c>
      <c r="H137" s="48" t="s">
        <v>6</v>
      </c>
      <c r="I137" s="52">
        <f>ROUND((0.9*2.416+0.1*2.932)*2347577/100,2)</f>
        <v>57928.81</v>
      </c>
    </row>
    <row r="138" spans="1:9" ht="22.5">
      <c r="A138" s="60" t="s">
        <v>65</v>
      </c>
      <c r="B138" s="99" t="s">
        <v>51</v>
      </c>
      <c r="C138" s="99"/>
      <c r="D138" s="99"/>
      <c r="E138" s="56">
        <v>2406816</v>
      </c>
      <c r="F138" s="57" t="s">
        <v>62</v>
      </c>
      <c r="G138" s="89" t="s">
        <v>152</v>
      </c>
      <c r="H138" s="48" t="s">
        <v>63</v>
      </c>
      <c r="I138" s="52">
        <f>ROUND(((275*24*274*0.565)+(91*24*274*0.686))/100,2)</f>
        <v>14322.59</v>
      </c>
    </row>
    <row r="139" spans="1:9" ht="33.75">
      <c r="A139" s="61" t="s">
        <v>151</v>
      </c>
      <c r="B139" s="98" t="s">
        <v>53</v>
      </c>
      <c r="C139" s="98"/>
      <c r="D139" s="98"/>
      <c r="E139" s="56">
        <v>212404</v>
      </c>
      <c r="F139" s="57" t="s">
        <v>0</v>
      </c>
      <c r="G139" s="89" t="s">
        <v>153</v>
      </c>
      <c r="H139" s="48" t="s">
        <v>6</v>
      </c>
      <c r="I139" s="52">
        <f>ROUND((0.75*2.416+0.25*2.932)*212404/100,2)</f>
        <v>5405.68</v>
      </c>
    </row>
    <row r="140" spans="1:9" ht="22.5">
      <c r="A140" s="60" t="s">
        <v>65</v>
      </c>
      <c r="B140" s="99" t="s">
        <v>51</v>
      </c>
      <c r="C140" s="99"/>
      <c r="D140" s="99"/>
      <c r="E140" s="56">
        <v>4831200</v>
      </c>
      <c r="F140" s="57" t="s">
        <v>62</v>
      </c>
      <c r="G140" s="89" t="s">
        <v>154</v>
      </c>
      <c r="H140" s="48" t="s">
        <v>63</v>
      </c>
      <c r="I140" s="52">
        <f>ROUND(((183*24*550*0.565)+(183*24*550*0.686))/100,2)</f>
        <v>30219.16</v>
      </c>
    </row>
    <row r="141" spans="1:9" ht="33.75">
      <c r="A141" s="61" t="s">
        <v>106</v>
      </c>
      <c r="B141" s="98" t="s">
        <v>53</v>
      </c>
      <c r="C141" s="98"/>
      <c r="D141" s="98"/>
      <c r="E141" s="56">
        <v>738801</v>
      </c>
      <c r="F141" s="57" t="s">
        <v>0</v>
      </c>
      <c r="G141" s="89" t="s">
        <v>155</v>
      </c>
      <c r="H141" s="48" t="s">
        <v>6</v>
      </c>
      <c r="I141" s="52">
        <f>ROUND((0.5*2.416+0.5*2.932)*738801/100,2)</f>
        <v>19755.54</v>
      </c>
    </row>
    <row r="142" spans="1:9" ht="22.5">
      <c r="A142" s="60" t="s">
        <v>65</v>
      </c>
      <c r="B142" s="99" t="s">
        <v>51</v>
      </c>
      <c r="C142" s="99"/>
      <c r="D142" s="99"/>
      <c r="E142" s="56">
        <v>1730448</v>
      </c>
      <c r="F142" s="57" t="s">
        <v>62</v>
      </c>
      <c r="G142" s="89" t="s">
        <v>157</v>
      </c>
      <c r="H142" s="48" t="s">
        <v>63</v>
      </c>
      <c r="I142" s="52">
        <f>ROUND(((160*24*197*0.565)+(206*24*197*0.686))/100,2)</f>
        <v>10955.53</v>
      </c>
    </row>
    <row r="143" spans="1:9" ht="33.75">
      <c r="A143" s="61" t="s">
        <v>156</v>
      </c>
      <c r="B143" s="98" t="s">
        <v>53</v>
      </c>
      <c r="C143" s="98"/>
      <c r="D143" s="98"/>
      <c r="E143" s="56">
        <v>243651</v>
      </c>
      <c r="F143" s="57" t="s">
        <v>0</v>
      </c>
      <c r="G143" s="89" t="s">
        <v>158</v>
      </c>
      <c r="H143" s="48" t="s">
        <v>6</v>
      </c>
      <c r="I143" s="52">
        <f>ROUND((0.4371*2.416+0.5629*2.932)*243651/100,2)</f>
        <v>6594.31</v>
      </c>
    </row>
    <row r="144" spans="1:9" ht="22.5">
      <c r="A144" s="60" t="s">
        <v>65</v>
      </c>
      <c r="B144" s="99" t="s">
        <v>51</v>
      </c>
      <c r="C144" s="99"/>
      <c r="D144" s="99"/>
      <c r="E144" s="56">
        <v>1071648</v>
      </c>
      <c r="F144" s="57" t="s">
        <v>62</v>
      </c>
      <c r="G144" s="89" t="s">
        <v>159</v>
      </c>
      <c r="H144" s="48" t="s">
        <v>63</v>
      </c>
      <c r="I144" s="52">
        <f>ROUND(((146*24*122*0.565)+(220*24*122*0.686))/100,2)</f>
        <v>6834.24</v>
      </c>
    </row>
    <row r="145" spans="1:10" ht="33.75">
      <c r="A145" s="61" t="s">
        <v>60</v>
      </c>
      <c r="B145" s="98" t="s">
        <v>53</v>
      </c>
      <c r="C145" s="98"/>
      <c r="D145" s="98"/>
      <c r="E145" s="56">
        <v>5098650</v>
      </c>
      <c r="F145" s="57" t="s">
        <v>0</v>
      </c>
      <c r="G145" s="89" t="s">
        <v>160</v>
      </c>
      <c r="H145" s="48" t="s">
        <v>6</v>
      </c>
      <c r="I145" s="52">
        <f>ROUND((0.4*2.416+0.6*2.932)*5098650/100,2)</f>
        <v>138968.8</v>
      </c>
      <c r="J145" s="3"/>
    </row>
    <row r="146" spans="1:9" ht="22.5">
      <c r="A146" s="60" t="s">
        <v>65</v>
      </c>
      <c r="B146" s="99" t="s">
        <v>51</v>
      </c>
      <c r="C146" s="99"/>
      <c r="D146" s="99"/>
      <c r="E146" s="50">
        <v>3373056</v>
      </c>
      <c r="F146" s="57" t="s">
        <v>62</v>
      </c>
      <c r="G146" s="89" t="s">
        <v>162</v>
      </c>
      <c r="H146" s="48" t="s">
        <v>63</v>
      </c>
      <c r="I146" s="52">
        <f>ROUND(((20*24*384*0.565)+(346*24*384*0.686))/100,2)</f>
        <v>22916.14</v>
      </c>
    </row>
    <row r="147" spans="1:9" ht="33.75">
      <c r="A147" s="61" t="s">
        <v>161</v>
      </c>
      <c r="B147" s="98" t="s">
        <v>53</v>
      </c>
      <c r="C147" s="98"/>
      <c r="D147" s="98"/>
      <c r="E147" s="56">
        <v>357459</v>
      </c>
      <c r="F147" s="57" t="s">
        <v>0</v>
      </c>
      <c r="G147" s="89" t="s">
        <v>163</v>
      </c>
      <c r="H147" s="48" t="s">
        <v>6</v>
      </c>
      <c r="I147" s="52">
        <f>ROUND((0.05*2.416+0.95*2.932)*357459/100,2)</f>
        <v>10388.47</v>
      </c>
    </row>
    <row r="148" spans="1:11" ht="25.5" customHeight="1">
      <c r="A148" s="54"/>
      <c r="B148" s="98" t="s">
        <v>248</v>
      </c>
      <c r="C148" s="98"/>
      <c r="D148" s="98"/>
      <c r="E148" s="98"/>
      <c r="F148" s="98"/>
      <c r="G148" s="98"/>
      <c r="H148" s="98"/>
      <c r="I148" s="58"/>
      <c r="K148" s="3"/>
    </row>
    <row r="149" spans="1:13" ht="25.5" customHeight="1">
      <c r="A149" s="54"/>
      <c r="B149" s="98" t="s">
        <v>249</v>
      </c>
      <c r="C149" s="98"/>
      <c r="D149" s="98"/>
      <c r="E149" s="98"/>
      <c r="F149" s="98"/>
      <c r="G149" s="98"/>
      <c r="H149" s="98"/>
      <c r="I149" s="80">
        <f>SUM(I46:I147)</f>
        <v>2761706.6944079995</v>
      </c>
      <c r="J149" s="4"/>
      <c r="K149" s="4"/>
      <c r="M149" s="3"/>
    </row>
    <row r="150" spans="1:9" ht="25.5" customHeight="1">
      <c r="A150" s="54"/>
      <c r="B150" s="98" t="s">
        <v>250</v>
      </c>
      <c r="C150" s="98"/>
      <c r="D150" s="98"/>
      <c r="E150" s="98"/>
      <c r="F150" s="98"/>
      <c r="G150" s="98"/>
      <c r="H150" s="98"/>
      <c r="I150" s="58"/>
    </row>
    <row r="154" ht="11.25">
      <c r="I154" s="8"/>
    </row>
    <row r="168" ht="11.25">
      <c r="F168" s="6"/>
    </row>
    <row r="171" ht="11.25">
      <c r="F171" s="6"/>
    </row>
  </sheetData>
  <sheetProtection/>
  <mergeCells count="158">
    <mergeCell ref="C31:C40"/>
    <mergeCell ref="B10:D10"/>
    <mergeCell ref="B137:D137"/>
    <mergeCell ref="I7:I9"/>
    <mergeCell ref="B128:D128"/>
    <mergeCell ref="C19:C30"/>
    <mergeCell ref="D19:D20"/>
    <mergeCell ref="I23:I24"/>
    <mergeCell ref="D25:D26"/>
    <mergeCell ref="E10:F10"/>
    <mergeCell ref="G10:H10"/>
    <mergeCell ref="D21:D22"/>
    <mergeCell ref="A11:A44"/>
    <mergeCell ref="E7:F9"/>
    <mergeCell ref="G7:H9"/>
    <mergeCell ref="B136:D136"/>
    <mergeCell ref="B11:B40"/>
    <mergeCell ref="C11:D12"/>
    <mergeCell ref="B7:D9"/>
    <mergeCell ref="D37:D38"/>
    <mergeCell ref="I37:I38"/>
    <mergeCell ref="I29:I30"/>
    <mergeCell ref="D23:D24"/>
    <mergeCell ref="D31:D32"/>
    <mergeCell ref="I35:I36"/>
    <mergeCell ref="D29:D30"/>
    <mergeCell ref="I27:I28"/>
    <mergeCell ref="D27:D28"/>
    <mergeCell ref="I25:I26"/>
    <mergeCell ref="H19:H40"/>
    <mergeCell ref="I11:I12"/>
    <mergeCell ref="C13:D14"/>
    <mergeCell ref="I13:I14"/>
    <mergeCell ref="C15:D16"/>
    <mergeCell ref="I15:I16"/>
    <mergeCell ref="I21:I22"/>
    <mergeCell ref="F11:F18"/>
    <mergeCell ref="H11:H18"/>
    <mergeCell ref="I17:I18"/>
    <mergeCell ref="C17:D18"/>
    <mergeCell ref="I19:I20"/>
    <mergeCell ref="I43:I44"/>
    <mergeCell ref="A45:I45"/>
    <mergeCell ref="D39:D40"/>
    <mergeCell ref="I39:I40"/>
    <mergeCell ref="F19:F40"/>
    <mergeCell ref="I31:I32"/>
    <mergeCell ref="D33:D34"/>
    <mergeCell ref="D35:D36"/>
    <mergeCell ref="I33:I34"/>
    <mergeCell ref="B52:D52"/>
    <mergeCell ref="B53:D53"/>
    <mergeCell ref="B41:B44"/>
    <mergeCell ref="C41:D42"/>
    <mergeCell ref="B49:D49"/>
    <mergeCell ref="A50:I50"/>
    <mergeCell ref="F41:F44"/>
    <mergeCell ref="H41:H44"/>
    <mergeCell ref="I41:I42"/>
    <mergeCell ref="C43:D44"/>
    <mergeCell ref="B46:D46"/>
    <mergeCell ref="B47:D47"/>
    <mergeCell ref="B48:D48"/>
    <mergeCell ref="B73:D73"/>
    <mergeCell ref="B71:D71"/>
    <mergeCell ref="B54:D54"/>
    <mergeCell ref="B64:D64"/>
    <mergeCell ref="B65:D65"/>
    <mergeCell ref="B66:D66"/>
    <mergeCell ref="B51:D51"/>
    <mergeCell ref="B57:D57"/>
    <mergeCell ref="B58:D58"/>
    <mergeCell ref="A62:I62"/>
    <mergeCell ref="B63:D63"/>
    <mergeCell ref="B72:D72"/>
    <mergeCell ref="B67:D67"/>
    <mergeCell ref="B61:D61"/>
    <mergeCell ref="A59:I59"/>
    <mergeCell ref="B60:D60"/>
    <mergeCell ref="A85:I85"/>
    <mergeCell ref="B76:D76"/>
    <mergeCell ref="B74:D74"/>
    <mergeCell ref="B77:D77"/>
    <mergeCell ref="B79:D79"/>
    <mergeCell ref="B80:D80"/>
    <mergeCell ref="B75:D75"/>
    <mergeCell ref="B81:D81"/>
    <mergeCell ref="B82:D82"/>
    <mergeCell ref="B78:D78"/>
    <mergeCell ref="B102:D102"/>
    <mergeCell ref="B86:D86"/>
    <mergeCell ref="B87:D87"/>
    <mergeCell ref="A90:I90"/>
    <mergeCell ref="B91:D91"/>
    <mergeCell ref="B92:D92"/>
    <mergeCell ref="B93:D93"/>
    <mergeCell ref="B88:D88"/>
    <mergeCell ref="B89:D89"/>
    <mergeCell ref="B113:D113"/>
    <mergeCell ref="B114:D114"/>
    <mergeCell ref="B94:D94"/>
    <mergeCell ref="B95:D95"/>
    <mergeCell ref="B96:D96"/>
    <mergeCell ref="B97:D97"/>
    <mergeCell ref="B98:D98"/>
    <mergeCell ref="B103:D103"/>
    <mergeCell ref="B99:D99"/>
    <mergeCell ref="B100:D100"/>
    <mergeCell ref="B149:H149"/>
    <mergeCell ref="B150:H150"/>
    <mergeCell ref="B146:D146"/>
    <mergeCell ref="B147:D147"/>
    <mergeCell ref="B148:H148"/>
    <mergeCell ref="B104:D104"/>
    <mergeCell ref="A105:I105"/>
    <mergeCell ref="B111:D111"/>
    <mergeCell ref="B107:D107"/>
    <mergeCell ref="B106:D106"/>
    <mergeCell ref="B108:D108"/>
    <mergeCell ref="B109:D109"/>
    <mergeCell ref="B55:D55"/>
    <mergeCell ref="B56:D56"/>
    <mergeCell ref="B83:D83"/>
    <mergeCell ref="B84:D84"/>
    <mergeCell ref="B69:D69"/>
    <mergeCell ref="B70:D70"/>
    <mergeCell ref="B68:D68"/>
    <mergeCell ref="B101:D101"/>
    <mergeCell ref="B144:D144"/>
    <mergeCell ref="B145:D145"/>
    <mergeCell ref="B118:D118"/>
    <mergeCell ref="B119:D119"/>
    <mergeCell ref="B120:D120"/>
    <mergeCell ref="B121:D121"/>
    <mergeCell ref="B122:D122"/>
    <mergeCell ref="B129:D129"/>
    <mergeCell ref="B130:D130"/>
    <mergeCell ref="B143:D143"/>
    <mergeCell ref="B110:D110"/>
    <mergeCell ref="B138:D138"/>
    <mergeCell ref="B139:D139"/>
    <mergeCell ref="B140:D140"/>
    <mergeCell ref="B112:D112"/>
    <mergeCell ref="B123:D123"/>
    <mergeCell ref="B124:D124"/>
    <mergeCell ref="B125:D125"/>
    <mergeCell ref="B126:D126"/>
    <mergeCell ref="B127:D127"/>
    <mergeCell ref="B141:D141"/>
    <mergeCell ref="B131:D131"/>
    <mergeCell ref="B142:D142"/>
    <mergeCell ref="B115:D115"/>
    <mergeCell ref="B116:D116"/>
    <mergeCell ref="B117:D117"/>
    <mergeCell ref="B135:D135"/>
    <mergeCell ref="B133:D133"/>
    <mergeCell ref="B134:D134"/>
    <mergeCell ref="B132:D1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47"/>
  <sheetViews>
    <sheetView zoomScaleSheetLayoutView="100" zoomScalePageLayoutView="0" workbookViewId="0" topLeftCell="A19">
      <selection activeCell="B42" sqref="B42:H42"/>
    </sheetView>
  </sheetViews>
  <sheetFormatPr defaultColWidth="9.00390625" defaultRowHeight="14.25"/>
  <cols>
    <col min="1" max="1" width="14.50390625" style="16" customWidth="1"/>
    <col min="2" max="2" width="16.25390625" style="16" customWidth="1"/>
    <col min="3" max="3" width="16.00390625" style="16" customWidth="1"/>
    <col min="4" max="4" width="15.125" style="16" customWidth="1"/>
    <col min="5" max="5" width="18.00390625" style="17" customWidth="1"/>
    <col min="6" max="6" width="9.00390625" style="18" customWidth="1"/>
    <col min="7" max="7" width="20.375" style="22" customWidth="1"/>
    <col min="8" max="8" width="9.00390625" style="16" customWidth="1"/>
    <col min="9" max="9" width="13.25390625" style="20" customWidth="1"/>
    <col min="10" max="11" width="14.625" style="10" bestFit="1" customWidth="1"/>
    <col min="12" max="12" width="13.125" style="10" bestFit="1" customWidth="1"/>
    <col min="13" max="16384" width="9.00390625" style="10" customWidth="1"/>
  </cols>
  <sheetData>
    <row r="1" ht="18.75">
      <c r="A1" s="69" t="s">
        <v>260</v>
      </c>
    </row>
    <row r="2" ht="18.75">
      <c r="A2" s="69" t="s">
        <v>261</v>
      </c>
    </row>
    <row r="7" spans="1:9" ht="11.25">
      <c r="A7" s="46"/>
      <c r="B7" s="123" t="s">
        <v>1</v>
      </c>
      <c r="C7" s="124"/>
      <c r="D7" s="125"/>
      <c r="E7" s="118" t="s">
        <v>257</v>
      </c>
      <c r="F7" s="118"/>
      <c r="G7" s="119" t="s">
        <v>242</v>
      </c>
      <c r="H7" s="120"/>
      <c r="I7" s="129" t="s">
        <v>2</v>
      </c>
    </row>
    <row r="8" spans="1:9" ht="11.25">
      <c r="A8" s="46"/>
      <c r="B8" s="126"/>
      <c r="C8" s="127"/>
      <c r="D8" s="128"/>
      <c r="E8" s="118"/>
      <c r="F8" s="118"/>
      <c r="G8" s="121"/>
      <c r="H8" s="122"/>
      <c r="I8" s="130"/>
    </row>
    <row r="9" spans="1:9" ht="11.25">
      <c r="A9" s="46"/>
      <c r="B9" s="126"/>
      <c r="C9" s="127"/>
      <c r="D9" s="128"/>
      <c r="E9" s="118"/>
      <c r="F9" s="118"/>
      <c r="G9" s="121"/>
      <c r="H9" s="122"/>
      <c r="I9" s="145"/>
    </row>
    <row r="10" spans="1:9" ht="11.25">
      <c r="A10" s="31">
        <v>1</v>
      </c>
      <c r="B10" s="144">
        <v>2</v>
      </c>
      <c r="C10" s="144"/>
      <c r="D10" s="144"/>
      <c r="E10" s="118">
        <v>3</v>
      </c>
      <c r="F10" s="118"/>
      <c r="G10" s="142">
        <v>4</v>
      </c>
      <c r="H10" s="142"/>
      <c r="I10" s="33" t="s">
        <v>3</v>
      </c>
    </row>
    <row r="11" spans="1:11" ht="11.25">
      <c r="A11" s="144" t="s">
        <v>4</v>
      </c>
      <c r="B11" s="142" t="s">
        <v>254</v>
      </c>
      <c r="C11" s="142" t="s">
        <v>244</v>
      </c>
      <c r="D11" s="142"/>
      <c r="E11" s="34" t="s">
        <v>241</v>
      </c>
      <c r="F11" s="118" t="s">
        <v>0</v>
      </c>
      <c r="G11" s="71" t="s">
        <v>5</v>
      </c>
      <c r="H11" s="142" t="s">
        <v>6</v>
      </c>
      <c r="I11" s="143"/>
      <c r="K11" s="11"/>
    </row>
    <row r="12" spans="1:12" ht="11.25">
      <c r="A12" s="144"/>
      <c r="B12" s="142"/>
      <c r="C12" s="142"/>
      <c r="D12" s="142"/>
      <c r="E12" s="34">
        <v>47646437</v>
      </c>
      <c r="F12" s="118"/>
      <c r="G12" s="71"/>
      <c r="H12" s="142"/>
      <c r="I12" s="143"/>
      <c r="K12" s="11"/>
      <c r="L12" s="11"/>
    </row>
    <row r="13" spans="1:9" ht="11.25">
      <c r="A13" s="144"/>
      <c r="B13" s="142"/>
      <c r="C13" s="142" t="s">
        <v>245</v>
      </c>
      <c r="D13" s="142"/>
      <c r="E13" s="34" t="s">
        <v>7</v>
      </c>
      <c r="F13" s="118"/>
      <c r="G13" s="71" t="s">
        <v>8</v>
      </c>
      <c r="H13" s="142"/>
      <c r="I13" s="143"/>
    </row>
    <row r="14" spans="1:9" ht="11.25">
      <c r="A14" s="144"/>
      <c r="B14" s="142"/>
      <c r="C14" s="142"/>
      <c r="D14" s="142"/>
      <c r="E14" s="34">
        <v>4250254</v>
      </c>
      <c r="F14" s="118"/>
      <c r="G14" s="71"/>
      <c r="H14" s="142"/>
      <c r="I14" s="143"/>
    </row>
    <row r="15" spans="1:9" ht="24.75" customHeight="1">
      <c r="A15" s="144"/>
      <c r="B15" s="142"/>
      <c r="C15" s="142" t="s">
        <v>246</v>
      </c>
      <c r="D15" s="142"/>
      <c r="E15" s="34" t="s">
        <v>9</v>
      </c>
      <c r="F15" s="118"/>
      <c r="G15" s="71" t="s">
        <v>10</v>
      </c>
      <c r="H15" s="142"/>
      <c r="I15" s="143"/>
    </row>
    <row r="16" spans="1:9" ht="24.75" customHeight="1">
      <c r="A16" s="144"/>
      <c r="B16" s="142"/>
      <c r="C16" s="142"/>
      <c r="D16" s="142"/>
      <c r="E16" s="34">
        <v>769866</v>
      </c>
      <c r="F16" s="118"/>
      <c r="G16" s="71"/>
      <c r="H16" s="142"/>
      <c r="I16" s="143"/>
    </row>
    <row r="17" spans="1:9" ht="24.75" customHeight="1">
      <c r="A17" s="144"/>
      <c r="B17" s="142"/>
      <c r="C17" s="142" t="s">
        <v>247</v>
      </c>
      <c r="D17" s="142"/>
      <c r="E17" s="34" t="s">
        <v>11</v>
      </c>
      <c r="F17" s="118"/>
      <c r="G17" s="71" t="s">
        <v>12</v>
      </c>
      <c r="H17" s="142"/>
      <c r="I17" s="143"/>
    </row>
    <row r="18" spans="1:11" ht="24.75" customHeight="1">
      <c r="A18" s="144"/>
      <c r="B18" s="142"/>
      <c r="C18" s="142"/>
      <c r="D18" s="142"/>
      <c r="E18" s="34">
        <v>319343</v>
      </c>
      <c r="F18" s="118"/>
      <c r="G18" s="71"/>
      <c r="H18" s="142"/>
      <c r="I18" s="143"/>
      <c r="K18" s="11"/>
    </row>
    <row r="19" spans="1:9" ht="11.25">
      <c r="A19" s="144"/>
      <c r="B19" s="142"/>
      <c r="C19" s="142" t="s">
        <v>13</v>
      </c>
      <c r="D19" s="142" t="s">
        <v>226</v>
      </c>
      <c r="E19" s="34" t="s">
        <v>15</v>
      </c>
      <c r="F19" s="118" t="s">
        <v>16</v>
      </c>
      <c r="G19" s="71" t="s">
        <v>17</v>
      </c>
      <c r="H19" s="142" t="s">
        <v>18</v>
      </c>
      <c r="I19" s="143"/>
    </row>
    <row r="20" spans="1:9" ht="11.25">
      <c r="A20" s="144"/>
      <c r="B20" s="142"/>
      <c r="C20" s="142"/>
      <c r="D20" s="142"/>
      <c r="E20" s="34">
        <v>70</v>
      </c>
      <c r="F20" s="118"/>
      <c r="G20" s="36"/>
      <c r="H20" s="142"/>
      <c r="I20" s="143"/>
    </row>
    <row r="21" spans="1:9" ht="11.25">
      <c r="A21" s="144"/>
      <c r="B21" s="142"/>
      <c r="C21" s="142"/>
      <c r="D21" s="142" t="s">
        <v>225</v>
      </c>
      <c r="E21" s="34" t="s">
        <v>20</v>
      </c>
      <c r="F21" s="118"/>
      <c r="G21" s="71" t="s">
        <v>21</v>
      </c>
      <c r="H21" s="142"/>
      <c r="I21" s="143"/>
    </row>
    <row r="22" spans="1:9" ht="11.25">
      <c r="A22" s="144"/>
      <c r="B22" s="142"/>
      <c r="C22" s="142"/>
      <c r="D22" s="142"/>
      <c r="E22" s="34">
        <v>12</v>
      </c>
      <c r="F22" s="118"/>
      <c r="G22" s="36"/>
      <c r="H22" s="142"/>
      <c r="I22" s="143"/>
    </row>
    <row r="23" spans="1:9" ht="24.75" customHeight="1">
      <c r="A23" s="144"/>
      <c r="B23" s="142"/>
      <c r="C23" s="142" t="s">
        <v>35</v>
      </c>
      <c r="D23" s="142" t="s">
        <v>226</v>
      </c>
      <c r="E23" s="34" t="s">
        <v>23</v>
      </c>
      <c r="F23" s="118"/>
      <c r="G23" s="71" t="s">
        <v>24</v>
      </c>
      <c r="H23" s="142"/>
      <c r="I23" s="143"/>
    </row>
    <row r="24" spans="1:9" s="12" customFormat="1" ht="24.75" customHeight="1">
      <c r="A24" s="144"/>
      <c r="B24" s="142"/>
      <c r="C24" s="142"/>
      <c r="D24" s="142"/>
      <c r="E24" s="34">
        <v>9</v>
      </c>
      <c r="F24" s="118"/>
      <c r="G24" s="36"/>
      <c r="H24" s="142"/>
      <c r="I24" s="143"/>
    </row>
    <row r="25" spans="1:9" ht="34.5" customHeight="1">
      <c r="A25" s="144"/>
      <c r="B25" s="142" t="s">
        <v>231</v>
      </c>
      <c r="C25" s="142" t="s">
        <v>47</v>
      </c>
      <c r="D25" s="142"/>
      <c r="E25" s="34" t="s">
        <v>45</v>
      </c>
      <c r="F25" s="118" t="s">
        <v>0</v>
      </c>
      <c r="G25" s="71" t="s">
        <v>46</v>
      </c>
      <c r="H25" s="142" t="s">
        <v>6</v>
      </c>
      <c r="I25" s="143"/>
    </row>
    <row r="26" spans="1:13" ht="34.5" customHeight="1">
      <c r="A26" s="144"/>
      <c r="B26" s="142"/>
      <c r="C26" s="142"/>
      <c r="D26" s="142"/>
      <c r="E26" s="34">
        <v>566090</v>
      </c>
      <c r="F26" s="118"/>
      <c r="G26" s="71"/>
      <c r="H26" s="142"/>
      <c r="I26" s="143"/>
      <c r="M26" s="11"/>
    </row>
    <row r="27" spans="1:9" ht="11.25">
      <c r="A27" s="137" t="s">
        <v>223</v>
      </c>
      <c r="B27" s="138"/>
      <c r="C27" s="138"/>
      <c r="D27" s="138"/>
      <c r="E27" s="138"/>
      <c r="F27" s="138"/>
      <c r="G27" s="138"/>
      <c r="H27" s="138"/>
      <c r="I27" s="139"/>
    </row>
    <row r="28" spans="1:9" ht="22.5">
      <c r="A28" s="94" t="s">
        <v>64</v>
      </c>
      <c r="B28" s="140" t="s">
        <v>51</v>
      </c>
      <c r="C28" s="140"/>
      <c r="D28" s="140"/>
      <c r="E28" s="37">
        <v>34213680</v>
      </c>
      <c r="F28" s="92" t="s">
        <v>62</v>
      </c>
      <c r="G28" s="90">
        <v>0.684</v>
      </c>
      <c r="H28" s="90" t="s">
        <v>63</v>
      </c>
      <c r="I28" s="39">
        <f>ROUND(E28*G28/100,2)</f>
        <v>234021.57</v>
      </c>
    </row>
    <row r="29" spans="1:11" ht="22.5">
      <c r="A29" s="93" t="s">
        <v>52</v>
      </c>
      <c r="B29" s="141" t="s">
        <v>53</v>
      </c>
      <c r="C29" s="141"/>
      <c r="D29" s="141"/>
      <c r="E29" s="37">
        <v>9560884</v>
      </c>
      <c r="F29" s="92" t="s">
        <v>0</v>
      </c>
      <c r="G29" s="90">
        <v>2.405</v>
      </c>
      <c r="H29" s="90" t="s">
        <v>6</v>
      </c>
      <c r="I29" s="39">
        <f>ROUND(E29*G29/100,2)</f>
        <v>229939.26</v>
      </c>
      <c r="K29" s="13"/>
    </row>
    <row r="30" spans="1:9" ht="22.5">
      <c r="A30" s="94" t="s">
        <v>64</v>
      </c>
      <c r="B30" s="140" t="s">
        <v>51</v>
      </c>
      <c r="C30" s="140"/>
      <c r="D30" s="140"/>
      <c r="E30" s="37">
        <v>6245424</v>
      </c>
      <c r="F30" s="92" t="s">
        <v>62</v>
      </c>
      <c r="G30" s="90">
        <v>0.83</v>
      </c>
      <c r="H30" s="90" t="s">
        <v>63</v>
      </c>
      <c r="I30" s="39">
        <f>ROUND(E30*G30/100,2)</f>
        <v>51837.02</v>
      </c>
    </row>
    <row r="31" spans="1:11" ht="22.5">
      <c r="A31" s="93" t="s">
        <v>54</v>
      </c>
      <c r="B31" s="141" t="s">
        <v>53</v>
      </c>
      <c r="C31" s="141"/>
      <c r="D31" s="141"/>
      <c r="E31" s="37">
        <v>566090</v>
      </c>
      <c r="F31" s="92" t="s">
        <v>0</v>
      </c>
      <c r="G31" s="90">
        <v>2.918</v>
      </c>
      <c r="H31" s="90" t="s">
        <v>6</v>
      </c>
      <c r="I31" s="39">
        <f>ROUND(E31*G31/100,2)</f>
        <v>16518.51</v>
      </c>
      <c r="K31" s="13"/>
    </row>
    <row r="32" spans="1:11" ht="22.5">
      <c r="A32" s="94" t="s">
        <v>65</v>
      </c>
      <c r="B32" s="132" t="s">
        <v>51</v>
      </c>
      <c r="C32" s="132"/>
      <c r="D32" s="132"/>
      <c r="E32" s="37">
        <v>24094512</v>
      </c>
      <c r="F32" s="92" t="s">
        <v>62</v>
      </c>
      <c r="G32" s="90" t="s">
        <v>234</v>
      </c>
      <c r="H32" s="90" t="s">
        <v>63</v>
      </c>
      <c r="I32" s="39">
        <f>ROUND(((364*24*2743*0.684)+(2*24*2743*0.83))/100,2)</f>
        <v>164998.69</v>
      </c>
      <c r="K32" s="13"/>
    </row>
    <row r="33" spans="1:11" ht="33.75">
      <c r="A33" s="93" t="s">
        <v>236</v>
      </c>
      <c r="B33" s="133" t="s">
        <v>53</v>
      </c>
      <c r="C33" s="133"/>
      <c r="D33" s="133"/>
      <c r="E33" s="37">
        <v>12396212</v>
      </c>
      <c r="F33" s="92" t="s">
        <v>0</v>
      </c>
      <c r="G33" s="90" t="s">
        <v>227</v>
      </c>
      <c r="H33" s="90" t="s">
        <v>6</v>
      </c>
      <c r="I33" s="39">
        <f>ROUND((0.9933*2.405+0.0067*2.918)*12396212/100,2)</f>
        <v>298554.97</v>
      </c>
      <c r="K33" s="13"/>
    </row>
    <row r="34" spans="1:9" ht="22.5">
      <c r="A34" s="94" t="s">
        <v>65</v>
      </c>
      <c r="B34" s="132" t="s">
        <v>51</v>
      </c>
      <c r="C34" s="132"/>
      <c r="D34" s="132"/>
      <c r="E34" s="37">
        <v>9548496</v>
      </c>
      <c r="F34" s="92" t="s">
        <v>62</v>
      </c>
      <c r="G34" s="90" t="s">
        <v>266</v>
      </c>
      <c r="H34" s="90" t="s">
        <v>63</v>
      </c>
      <c r="I34" s="39">
        <f>ROUND(((224*24*1426*0.684)+(55*24*1426*0.83))/100,2)</f>
        <v>68059.9</v>
      </c>
    </row>
    <row r="35" spans="1:11" ht="33.75">
      <c r="A35" s="93" t="s">
        <v>228</v>
      </c>
      <c r="B35" s="133" t="s">
        <v>53</v>
      </c>
      <c r="C35" s="133"/>
      <c r="D35" s="133"/>
      <c r="E35" s="37">
        <v>1624328</v>
      </c>
      <c r="F35" s="92" t="s">
        <v>0</v>
      </c>
      <c r="G35" s="90" t="s">
        <v>267</v>
      </c>
      <c r="H35" s="90" t="s">
        <v>6</v>
      </c>
      <c r="I35" s="39">
        <f>ROUND((0.8034*2.405+0.1966*2.918)*1624328/100,2)</f>
        <v>40703.32</v>
      </c>
      <c r="K35" s="13"/>
    </row>
    <row r="36" spans="1:9" ht="22.5">
      <c r="A36" s="97" t="s">
        <v>65</v>
      </c>
      <c r="B36" s="132" t="s">
        <v>51</v>
      </c>
      <c r="C36" s="132"/>
      <c r="D36" s="132"/>
      <c r="E36" s="37">
        <v>11419200</v>
      </c>
      <c r="F36" s="92" t="s">
        <v>62</v>
      </c>
      <c r="G36" s="90" t="s">
        <v>229</v>
      </c>
      <c r="H36" s="90" t="s">
        <v>63</v>
      </c>
      <c r="I36" s="39">
        <f>ROUND(((146*24*1300*0.684)+(220*24*1300*0.83))/100,2)</f>
        <v>88128.77</v>
      </c>
    </row>
    <row r="37" spans="1:11" ht="33.75">
      <c r="A37" s="97" t="s">
        <v>60</v>
      </c>
      <c r="B37" s="136" t="s">
        <v>53</v>
      </c>
      <c r="C37" s="136"/>
      <c r="D37" s="136"/>
      <c r="E37" s="42">
        <v>1144685</v>
      </c>
      <c r="F37" s="43" t="s">
        <v>0</v>
      </c>
      <c r="G37" s="44" t="s">
        <v>230</v>
      </c>
      <c r="H37" s="44" t="s">
        <v>6</v>
      </c>
      <c r="I37" s="45">
        <f>ROUND((0.4*2.405+0.6*2.918)*1144685/100,2)</f>
        <v>31053.01</v>
      </c>
      <c r="K37" s="13"/>
    </row>
    <row r="38" spans="1:9" ht="11.25">
      <c r="A38" s="134" t="s">
        <v>224</v>
      </c>
      <c r="B38" s="134"/>
      <c r="C38" s="134"/>
      <c r="D38" s="134"/>
      <c r="E38" s="134"/>
      <c r="F38" s="134"/>
      <c r="G38" s="134"/>
      <c r="H38" s="134"/>
      <c r="I38" s="134"/>
    </row>
    <row r="39" spans="1:12" ht="22.5">
      <c r="A39" s="94" t="s">
        <v>64</v>
      </c>
      <c r="B39" s="135" t="s">
        <v>51</v>
      </c>
      <c r="C39" s="135"/>
      <c r="D39" s="135"/>
      <c r="E39" s="63">
        <v>57921696</v>
      </c>
      <c r="F39" s="40" t="s">
        <v>62</v>
      </c>
      <c r="G39" s="41">
        <v>0.656</v>
      </c>
      <c r="H39" s="41" t="s">
        <v>63</v>
      </c>
      <c r="I39" s="64">
        <f>ROUND(E39*G39/100,2)</f>
        <v>379966.33</v>
      </c>
      <c r="L39" s="11"/>
    </row>
    <row r="40" spans="1:12" ht="22.5">
      <c r="A40" s="93" t="s">
        <v>52</v>
      </c>
      <c r="B40" s="133" t="s">
        <v>53</v>
      </c>
      <c r="C40" s="133"/>
      <c r="D40" s="133"/>
      <c r="E40" s="37">
        <v>28259791</v>
      </c>
      <c r="F40" s="92" t="s">
        <v>0</v>
      </c>
      <c r="G40" s="90">
        <v>1.765</v>
      </c>
      <c r="H40" s="90" t="s">
        <v>6</v>
      </c>
      <c r="I40" s="95">
        <f>ROUND(E40*G40/100,2)</f>
        <v>498785.31</v>
      </c>
      <c r="K40" s="13"/>
      <c r="L40" s="11"/>
    </row>
    <row r="41" spans="1:12" ht="22.5" customHeight="1">
      <c r="A41" s="30"/>
      <c r="B41" s="131" t="s">
        <v>251</v>
      </c>
      <c r="C41" s="131"/>
      <c r="D41" s="131"/>
      <c r="E41" s="131"/>
      <c r="F41" s="131"/>
      <c r="G41" s="131"/>
      <c r="H41" s="131"/>
      <c r="I41" s="38"/>
      <c r="K41" s="13"/>
      <c r="L41" s="13"/>
    </row>
    <row r="42" spans="1:13" ht="22.5" customHeight="1">
      <c r="A42" s="30"/>
      <c r="B42" s="131" t="s">
        <v>252</v>
      </c>
      <c r="C42" s="131"/>
      <c r="D42" s="131"/>
      <c r="E42" s="131"/>
      <c r="F42" s="131"/>
      <c r="G42" s="131"/>
      <c r="H42" s="131"/>
      <c r="I42" s="38">
        <f>I40+I39+I37+I36+I35+I34+I33+I32+I31+I30+I29+I28</f>
        <v>2102566.6599999997</v>
      </c>
      <c r="J42" s="14"/>
      <c r="K42" s="14"/>
      <c r="L42" s="15"/>
      <c r="M42" s="13"/>
    </row>
    <row r="43" spans="1:9" ht="22.5" customHeight="1">
      <c r="A43" s="30"/>
      <c r="B43" s="131" t="s">
        <v>253</v>
      </c>
      <c r="C43" s="131"/>
      <c r="D43" s="131"/>
      <c r="E43" s="131"/>
      <c r="F43" s="131"/>
      <c r="G43" s="131"/>
      <c r="H43" s="131"/>
      <c r="I43" s="38"/>
    </row>
    <row r="47" ht="11.25">
      <c r="I47" s="19"/>
    </row>
  </sheetData>
  <sheetProtection/>
  <mergeCells count="51">
    <mergeCell ref="G7:H9"/>
    <mergeCell ref="B7:D9"/>
    <mergeCell ref="I7:I9"/>
    <mergeCell ref="E7:F9"/>
    <mergeCell ref="B10:D10"/>
    <mergeCell ref="E10:F10"/>
    <mergeCell ref="G10:H10"/>
    <mergeCell ref="A11:A26"/>
    <mergeCell ref="B11:B24"/>
    <mergeCell ref="C11:D12"/>
    <mergeCell ref="F11:F18"/>
    <mergeCell ref="H11:H18"/>
    <mergeCell ref="C19:C22"/>
    <mergeCell ref="D19:D20"/>
    <mergeCell ref="B25:B26"/>
    <mergeCell ref="F25:F26"/>
    <mergeCell ref="H25:H26"/>
    <mergeCell ref="I11:I12"/>
    <mergeCell ref="C13:D14"/>
    <mergeCell ref="I13:I14"/>
    <mergeCell ref="C15:D16"/>
    <mergeCell ref="I15:I16"/>
    <mergeCell ref="C17:D18"/>
    <mergeCell ref="I17:I18"/>
    <mergeCell ref="C25:D26"/>
    <mergeCell ref="I25:I26"/>
    <mergeCell ref="C23:C24"/>
    <mergeCell ref="D23:D24"/>
    <mergeCell ref="I23:I24"/>
    <mergeCell ref="F19:F24"/>
    <mergeCell ref="H19:H24"/>
    <mergeCell ref="I19:I20"/>
    <mergeCell ref="D21:D22"/>
    <mergeCell ref="I21:I22"/>
    <mergeCell ref="B33:D33"/>
    <mergeCell ref="B36:D36"/>
    <mergeCell ref="B37:D37"/>
    <mergeCell ref="A27:I27"/>
    <mergeCell ref="B28:D28"/>
    <mergeCell ref="B29:D29"/>
    <mergeCell ref="B30:D30"/>
    <mergeCell ref="B31:D31"/>
    <mergeCell ref="B32:D32"/>
    <mergeCell ref="B43:H43"/>
    <mergeCell ref="B34:D34"/>
    <mergeCell ref="B35:D35"/>
    <mergeCell ref="B41:H41"/>
    <mergeCell ref="B42:H42"/>
    <mergeCell ref="A38:I38"/>
    <mergeCell ref="B39:D39"/>
    <mergeCell ref="B40:D40"/>
  </mergeCells>
  <printOptions/>
  <pageMargins left="0.7" right="0.7" top="0.75" bottom="0.75" header="0.3" footer="0.3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54"/>
  <sheetViews>
    <sheetView zoomScaleSheetLayoutView="100" zoomScalePageLayoutView="0" workbookViewId="0" topLeftCell="A109">
      <selection activeCell="L154" sqref="L154"/>
    </sheetView>
  </sheetViews>
  <sheetFormatPr defaultColWidth="9.00390625" defaultRowHeight="14.25"/>
  <cols>
    <col min="1" max="1" width="20.875" style="26" customWidth="1"/>
    <col min="2" max="2" width="14.375" style="26" customWidth="1"/>
    <col min="3" max="3" width="14.625" style="26" customWidth="1"/>
    <col min="4" max="4" width="15.125" style="26" customWidth="1"/>
    <col min="5" max="5" width="18.00390625" style="27" customWidth="1"/>
    <col min="6" max="6" width="9.00390625" style="22" customWidth="1"/>
    <col min="7" max="7" width="19.50390625" style="22" customWidth="1"/>
    <col min="8" max="8" width="9.00390625" style="26" customWidth="1"/>
    <col min="9" max="9" width="13.25390625" style="29" customWidth="1"/>
    <col min="10" max="10" width="11.375" style="23" bestFit="1" customWidth="1"/>
    <col min="11" max="11" width="9.00390625" style="23" customWidth="1"/>
    <col min="12" max="12" width="10.875" style="23" bestFit="1" customWidth="1"/>
    <col min="13" max="16384" width="9.00390625" style="23" customWidth="1"/>
  </cols>
  <sheetData>
    <row r="1" ht="18.75">
      <c r="A1" s="69" t="s">
        <v>262</v>
      </c>
    </row>
    <row r="2" ht="18.75">
      <c r="A2" s="69" t="s">
        <v>263</v>
      </c>
    </row>
    <row r="7" spans="1:9" s="10" customFormat="1" ht="11.25">
      <c r="A7" s="46"/>
      <c r="B7" s="123" t="s">
        <v>1</v>
      </c>
      <c r="C7" s="124"/>
      <c r="D7" s="125"/>
      <c r="E7" s="118" t="s">
        <v>257</v>
      </c>
      <c r="F7" s="118"/>
      <c r="G7" s="119" t="s">
        <v>242</v>
      </c>
      <c r="H7" s="120"/>
      <c r="I7" s="129" t="s">
        <v>2</v>
      </c>
    </row>
    <row r="8" spans="1:9" s="10" customFormat="1" ht="11.25">
      <c r="A8" s="46"/>
      <c r="B8" s="126"/>
      <c r="C8" s="127"/>
      <c r="D8" s="128"/>
      <c r="E8" s="118"/>
      <c r="F8" s="118"/>
      <c r="G8" s="121"/>
      <c r="H8" s="122"/>
      <c r="I8" s="130"/>
    </row>
    <row r="9" spans="1:9" s="10" customFormat="1" ht="11.25">
      <c r="A9" s="46"/>
      <c r="B9" s="126"/>
      <c r="C9" s="127"/>
      <c r="D9" s="128"/>
      <c r="E9" s="118"/>
      <c r="F9" s="118"/>
      <c r="G9" s="121"/>
      <c r="H9" s="122"/>
      <c r="I9" s="130"/>
    </row>
    <row r="10" spans="1:12" ht="11.25">
      <c r="A10" s="32">
        <v>1</v>
      </c>
      <c r="B10" s="142">
        <v>2</v>
      </c>
      <c r="C10" s="142"/>
      <c r="D10" s="142"/>
      <c r="E10" s="118">
        <v>3</v>
      </c>
      <c r="F10" s="118"/>
      <c r="G10" s="142">
        <v>4</v>
      </c>
      <c r="H10" s="142"/>
      <c r="I10" s="33" t="s">
        <v>3</v>
      </c>
      <c r="L10" s="24"/>
    </row>
    <row r="11" spans="1:12" ht="11.25">
      <c r="A11" s="118" t="s">
        <v>4</v>
      </c>
      <c r="B11" s="118" t="s">
        <v>255</v>
      </c>
      <c r="C11" s="118" t="s">
        <v>244</v>
      </c>
      <c r="D11" s="118"/>
      <c r="E11" s="34" t="s">
        <v>241</v>
      </c>
      <c r="F11" s="118" t="s">
        <v>0</v>
      </c>
      <c r="G11" s="71" t="s">
        <v>5</v>
      </c>
      <c r="H11" s="118" t="s">
        <v>6</v>
      </c>
      <c r="I11" s="146"/>
      <c r="L11" s="24"/>
    </row>
    <row r="12" spans="1:14" ht="11.25">
      <c r="A12" s="118"/>
      <c r="B12" s="118"/>
      <c r="C12" s="118"/>
      <c r="D12" s="118"/>
      <c r="E12" s="81">
        <v>41472877</v>
      </c>
      <c r="F12" s="118"/>
      <c r="G12" s="71"/>
      <c r="H12" s="118"/>
      <c r="I12" s="146"/>
      <c r="M12" s="24"/>
      <c r="N12" s="24"/>
    </row>
    <row r="13" spans="1:9" ht="24.75" customHeight="1">
      <c r="A13" s="118"/>
      <c r="B13" s="118"/>
      <c r="C13" s="118" t="s">
        <v>245</v>
      </c>
      <c r="D13" s="118"/>
      <c r="E13" s="34" t="s">
        <v>7</v>
      </c>
      <c r="F13" s="118"/>
      <c r="G13" s="71" t="s">
        <v>8</v>
      </c>
      <c r="H13" s="118"/>
      <c r="I13" s="146"/>
    </row>
    <row r="14" spans="1:9" ht="24.75" customHeight="1">
      <c r="A14" s="118"/>
      <c r="B14" s="118"/>
      <c r="C14" s="118"/>
      <c r="D14" s="118"/>
      <c r="E14" s="81">
        <v>1149851</v>
      </c>
      <c r="F14" s="118"/>
      <c r="G14" s="71"/>
      <c r="H14" s="118"/>
      <c r="I14" s="146"/>
    </row>
    <row r="15" spans="1:9" ht="24.75" customHeight="1">
      <c r="A15" s="118"/>
      <c r="B15" s="118"/>
      <c r="C15" s="118" t="s">
        <v>246</v>
      </c>
      <c r="D15" s="118"/>
      <c r="E15" s="34" t="s">
        <v>9</v>
      </c>
      <c r="F15" s="118"/>
      <c r="G15" s="71" t="s">
        <v>10</v>
      </c>
      <c r="H15" s="118"/>
      <c r="I15" s="146"/>
    </row>
    <row r="16" spans="1:12" ht="24.75" customHeight="1">
      <c r="A16" s="118"/>
      <c r="B16" s="118"/>
      <c r="C16" s="118"/>
      <c r="D16" s="118"/>
      <c r="E16" s="81">
        <v>4558904</v>
      </c>
      <c r="F16" s="118"/>
      <c r="G16" s="71"/>
      <c r="H16" s="118"/>
      <c r="I16" s="146"/>
      <c r="L16" s="24"/>
    </row>
    <row r="17" spans="1:9" ht="24.75" customHeight="1">
      <c r="A17" s="118"/>
      <c r="B17" s="118"/>
      <c r="C17" s="118" t="s">
        <v>247</v>
      </c>
      <c r="D17" s="118"/>
      <c r="E17" s="34" t="s">
        <v>11</v>
      </c>
      <c r="F17" s="118"/>
      <c r="G17" s="71" t="s">
        <v>12</v>
      </c>
      <c r="H17" s="118"/>
      <c r="I17" s="146"/>
    </row>
    <row r="18" spans="1:12" ht="24.75" customHeight="1">
      <c r="A18" s="118"/>
      <c r="B18" s="118"/>
      <c r="C18" s="118"/>
      <c r="D18" s="118"/>
      <c r="E18" s="81">
        <v>421881</v>
      </c>
      <c r="F18" s="118"/>
      <c r="G18" s="71"/>
      <c r="H18" s="118"/>
      <c r="I18" s="146"/>
      <c r="L18" s="24"/>
    </row>
    <row r="19" spans="1:9" ht="11.25">
      <c r="A19" s="118"/>
      <c r="B19" s="118"/>
      <c r="C19" s="118" t="s">
        <v>13</v>
      </c>
      <c r="D19" s="118" t="s">
        <v>14</v>
      </c>
      <c r="E19" s="34" t="s">
        <v>15</v>
      </c>
      <c r="F19" s="118" t="s">
        <v>16</v>
      </c>
      <c r="G19" s="71" t="s">
        <v>17</v>
      </c>
      <c r="H19" s="118" t="s">
        <v>18</v>
      </c>
      <c r="I19" s="146"/>
    </row>
    <row r="20" spans="1:9" ht="11.25">
      <c r="A20" s="118"/>
      <c r="B20" s="118"/>
      <c r="C20" s="118"/>
      <c r="D20" s="118"/>
      <c r="E20" s="34">
        <v>420</v>
      </c>
      <c r="F20" s="118"/>
      <c r="G20" s="36"/>
      <c r="H20" s="118"/>
      <c r="I20" s="146"/>
    </row>
    <row r="21" spans="1:9" ht="11.25">
      <c r="A21" s="118"/>
      <c r="B21" s="118"/>
      <c r="C21" s="118"/>
      <c r="D21" s="118" t="s">
        <v>19</v>
      </c>
      <c r="E21" s="34" t="s">
        <v>20</v>
      </c>
      <c r="F21" s="118"/>
      <c r="G21" s="71" t="s">
        <v>21</v>
      </c>
      <c r="H21" s="118"/>
      <c r="I21" s="146"/>
    </row>
    <row r="22" spans="1:9" ht="11.25">
      <c r="A22" s="118"/>
      <c r="B22" s="118"/>
      <c r="C22" s="118"/>
      <c r="D22" s="118"/>
      <c r="E22" s="34">
        <v>919</v>
      </c>
      <c r="F22" s="118"/>
      <c r="G22" s="36"/>
      <c r="H22" s="118"/>
      <c r="I22" s="146"/>
    </row>
    <row r="23" spans="1:9" ht="11.25">
      <c r="A23" s="118"/>
      <c r="B23" s="118"/>
      <c r="C23" s="118"/>
      <c r="D23" s="118" t="s">
        <v>22</v>
      </c>
      <c r="E23" s="34" t="s">
        <v>23</v>
      </c>
      <c r="F23" s="118"/>
      <c r="G23" s="71" t="s">
        <v>24</v>
      </c>
      <c r="H23" s="118"/>
      <c r="I23" s="146"/>
    </row>
    <row r="24" spans="1:9" ht="11.25">
      <c r="A24" s="118"/>
      <c r="B24" s="118"/>
      <c r="C24" s="118"/>
      <c r="D24" s="118"/>
      <c r="E24" s="81">
        <v>1143</v>
      </c>
      <c r="F24" s="118"/>
      <c r="G24" s="36"/>
      <c r="H24" s="118"/>
      <c r="I24" s="146"/>
    </row>
    <row r="25" spans="1:9" ht="11.25">
      <c r="A25" s="118"/>
      <c r="B25" s="118"/>
      <c r="C25" s="118"/>
      <c r="D25" s="118" t="s">
        <v>25</v>
      </c>
      <c r="E25" s="34" t="s">
        <v>26</v>
      </c>
      <c r="F25" s="118"/>
      <c r="G25" s="71" t="s">
        <v>27</v>
      </c>
      <c r="H25" s="118"/>
      <c r="I25" s="146"/>
    </row>
    <row r="26" spans="1:9" ht="11.25">
      <c r="A26" s="118"/>
      <c r="B26" s="118"/>
      <c r="C26" s="118"/>
      <c r="D26" s="118"/>
      <c r="E26" s="34">
        <v>19</v>
      </c>
      <c r="F26" s="118"/>
      <c r="G26" s="36"/>
      <c r="H26" s="118"/>
      <c r="I26" s="146"/>
    </row>
    <row r="27" spans="1:9" ht="11.25">
      <c r="A27" s="118"/>
      <c r="B27" s="118"/>
      <c r="C27" s="118"/>
      <c r="D27" s="118" t="s">
        <v>28</v>
      </c>
      <c r="E27" s="34" t="s">
        <v>29</v>
      </c>
      <c r="F27" s="118"/>
      <c r="G27" s="71" t="s">
        <v>30</v>
      </c>
      <c r="H27" s="118"/>
      <c r="I27" s="146"/>
    </row>
    <row r="28" spans="1:9" ht="11.25">
      <c r="A28" s="118"/>
      <c r="B28" s="118"/>
      <c r="C28" s="118"/>
      <c r="D28" s="118"/>
      <c r="E28" s="81">
        <v>239</v>
      </c>
      <c r="F28" s="118"/>
      <c r="G28" s="36"/>
      <c r="H28" s="118"/>
      <c r="I28" s="146"/>
    </row>
    <row r="29" spans="1:9" ht="11.25">
      <c r="A29" s="118"/>
      <c r="B29" s="118"/>
      <c r="C29" s="118"/>
      <c r="D29" s="118" t="s">
        <v>31</v>
      </c>
      <c r="E29" s="34" t="s">
        <v>32</v>
      </c>
      <c r="F29" s="118"/>
      <c r="G29" s="71" t="s">
        <v>33</v>
      </c>
      <c r="H29" s="118"/>
      <c r="I29" s="146"/>
    </row>
    <row r="30" spans="1:9" ht="11.25">
      <c r="A30" s="118"/>
      <c r="B30" s="118"/>
      <c r="C30" s="118"/>
      <c r="D30" s="118"/>
      <c r="E30" s="34">
        <v>848</v>
      </c>
      <c r="F30" s="118"/>
      <c r="G30" s="36"/>
      <c r="H30" s="118"/>
      <c r="I30" s="146"/>
    </row>
    <row r="31" spans="1:9" ht="11.25">
      <c r="A31" s="118"/>
      <c r="B31" s="118"/>
      <c r="C31" s="118" t="s">
        <v>35</v>
      </c>
      <c r="D31" s="118" t="s">
        <v>19</v>
      </c>
      <c r="E31" s="34" t="s">
        <v>34</v>
      </c>
      <c r="F31" s="118"/>
      <c r="G31" s="71" t="s">
        <v>232</v>
      </c>
      <c r="H31" s="118"/>
      <c r="I31" s="146"/>
    </row>
    <row r="32" spans="1:9" ht="11.25">
      <c r="A32" s="118"/>
      <c r="B32" s="118"/>
      <c r="C32" s="118"/>
      <c r="D32" s="118"/>
      <c r="E32" s="34">
        <v>5</v>
      </c>
      <c r="F32" s="118"/>
      <c r="G32" s="36"/>
      <c r="H32" s="118"/>
      <c r="I32" s="146"/>
    </row>
    <row r="33" spans="1:9" ht="11.25">
      <c r="A33" s="118"/>
      <c r="B33" s="118"/>
      <c r="C33" s="118"/>
      <c r="D33" s="118" t="s">
        <v>22</v>
      </c>
      <c r="E33" s="34" t="s">
        <v>36</v>
      </c>
      <c r="F33" s="118"/>
      <c r="G33" s="71" t="s">
        <v>37</v>
      </c>
      <c r="H33" s="118"/>
      <c r="I33" s="146"/>
    </row>
    <row r="34" spans="1:9" ht="11.25">
      <c r="A34" s="118"/>
      <c r="B34" s="118"/>
      <c r="C34" s="118"/>
      <c r="D34" s="118"/>
      <c r="E34" s="34">
        <v>45</v>
      </c>
      <c r="F34" s="118"/>
      <c r="G34" s="36"/>
      <c r="H34" s="118"/>
      <c r="I34" s="146"/>
    </row>
    <row r="35" spans="1:9" ht="11.25">
      <c r="A35" s="118"/>
      <c r="B35" s="118"/>
      <c r="C35" s="118"/>
      <c r="D35" s="118" t="s">
        <v>25</v>
      </c>
      <c r="E35" s="34" t="s">
        <v>38</v>
      </c>
      <c r="F35" s="118"/>
      <c r="G35" s="36" t="s">
        <v>39</v>
      </c>
      <c r="H35" s="118"/>
      <c r="I35" s="146"/>
    </row>
    <row r="36" spans="1:9" ht="11.25">
      <c r="A36" s="118"/>
      <c r="B36" s="118"/>
      <c r="C36" s="118"/>
      <c r="D36" s="118"/>
      <c r="E36" s="34">
        <v>5</v>
      </c>
      <c r="F36" s="118"/>
      <c r="G36" s="36"/>
      <c r="H36" s="118"/>
      <c r="I36" s="146"/>
    </row>
    <row r="37" spans="1:9" ht="11.25">
      <c r="A37" s="118"/>
      <c r="B37" s="118"/>
      <c r="C37" s="118"/>
      <c r="D37" s="118" t="s">
        <v>28</v>
      </c>
      <c r="E37" s="34" t="s">
        <v>40</v>
      </c>
      <c r="F37" s="118"/>
      <c r="G37" s="71" t="s">
        <v>41</v>
      </c>
      <c r="H37" s="118"/>
      <c r="I37" s="146"/>
    </row>
    <row r="38" spans="1:9" ht="11.25">
      <c r="A38" s="118"/>
      <c r="B38" s="118"/>
      <c r="C38" s="118"/>
      <c r="D38" s="118"/>
      <c r="E38" s="34">
        <v>25</v>
      </c>
      <c r="F38" s="118"/>
      <c r="G38" s="36"/>
      <c r="H38" s="118"/>
      <c r="I38" s="146"/>
    </row>
    <row r="39" spans="1:9" ht="11.25">
      <c r="A39" s="118"/>
      <c r="B39" s="118"/>
      <c r="C39" s="118"/>
      <c r="D39" s="118" t="s">
        <v>31</v>
      </c>
      <c r="E39" s="34" t="s">
        <v>42</v>
      </c>
      <c r="F39" s="118"/>
      <c r="G39" s="71" t="s">
        <v>43</v>
      </c>
      <c r="H39" s="118"/>
      <c r="I39" s="146"/>
    </row>
    <row r="40" spans="1:9" ht="11.25">
      <c r="A40" s="118"/>
      <c r="B40" s="118"/>
      <c r="C40" s="118"/>
      <c r="D40" s="118"/>
      <c r="E40" s="34">
        <v>64</v>
      </c>
      <c r="F40" s="118"/>
      <c r="G40" s="36"/>
      <c r="H40" s="118"/>
      <c r="I40" s="146"/>
    </row>
    <row r="41" spans="1:9" ht="11.25">
      <c r="A41" s="118"/>
      <c r="B41" s="118" t="s">
        <v>231</v>
      </c>
      <c r="C41" s="118" t="s">
        <v>44</v>
      </c>
      <c r="D41" s="118"/>
      <c r="E41" s="34" t="s">
        <v>45</v>
      </c>
      <c r="F41" s="118" t="s">
        <v>0</v>
      </c>
      <c r="G41" s="71" t="s">
        <v>46</v>
      </c>
      <c r="H41" s="118" t="s">
        <v>6</v>
      </c>
      <c r="I41" s="146"/>
    </row>
    <row r="42" spans="1:14" ht="11.25">
      <c r="A42" s="118"/>
      <c r="B42" s="118"/>
      <c r="C42" s="118"/>
      <c r="D42" s="118"/>
      <c r="E42" s="81">
        <v>4327404</v>
      </c>
      <c r="F42" s="118"/>
      <c r="G42" s="71"/>
      <c r="H42" s="118"/>
      <c r="I42" s="146"/>
      <c r="L42" s="24"/>
      <c r="M42" s="24"/>
      <c r="N42" s="24"/>
    </row>
    <row r="43" spans="1:9" ht="11.25">
      <c r="A43" s="118"/>
      <c r="B43" s="118"/>
      <c r="C43" s="118" t="s">
        <v>47</v>
      </c>
      <c r="D43" s="118"/>
      <c r="E43" s="34" t="s">
        <v>48</v>
      </c>
      <c r="F43" s="118"/>
      <c r="G43" s="71" t="s">
        <v>49</v>
      </c>
      <c r="H43" s="118"/>
      <c r="I43" s="146"/>
    </row>
    <row r="44" spans="1:12" ht="11.25">
      <c r="A44" s="118"/>
      <c r="B44" s="118"/>
      <c r="C44" s="118"/>
      <c r="D44" s="118"/>
      <c r="E44" s="81">
        <v>524025</v>
      </c>
      <c r="F44" s="118"/>
      <c r="G44" s="71"/>
      <c r="H44" s="118"/>
      <c r="I44" s="146"/>
      <c r="J44" s="25"/>
      <c r="L44" s="24"/>
    </row>
    <row r="45" spans="1:9" ht="11.25">
      <c r="A45" s="118" t="s">
        <v>50</v>
      </c>
      <c r="B45" s="118"/>
      <c r="C45" s="118"/>
      <c r="D45" s="118"/>
      <c r="E45" s="118"/>
      <c r="F45" s="118"/>
      <c r="G45" s="118"/>
      <c r="H45" s="118"/>
      <c r="I45" s="118"/>
    </row>
    <row r="46" spans="1:9" ht="11.25">
      <c r="A46" s="91" t="s">
        <v>64</v>
      </c>
      <c r="B46" s="132" t="s">
        <v>51</v>
      </c>
      <c r="C46" s="132"/>
      <c r="D46" s="132"/>
      <c r="E46" s="34">
        <v>420</v>
      </c>
      <c r="F46" s="90" t="s">
        <v>16</v>
      </c>
      <c r="G46" s="90">
        <v>3.85</v>
      </c>
      <c r="H46" s="90" t="s">
        <v>18</v>
      </c>
      <c r="I46" s="95">
        <f>ROUND(E46*G46,2)</f>
        <v>1617</v>
      </c>
    </row>
    <row r="47" spans="1:10" ht="22.5">
      <c r="A47" s="91" t="s">
        <v>52</v>
      </c>
      <c r="B47" s="132" t="s">
        <v>53</v>
      </c>
      <c r="C47" s="132"/>
      <c r="D47" s="132"/>
      <c r="E47" s="34">
        <v>67054</v>
      </c>
      <c r="F47" s="90" t="s">
        <v>0</v>
      </c>
      <c r="G47" s="90">
        <v>5.434</v>
      </c>
      <c r="H47" s="90" t="s">
        <v>6</v>
      </c>
      <c r="I47" s="95">
        <f>ROUND(E47*G47/100,2)</f>
        <v>3643.71</v>
      </c>
      <c r="J47" s="25"/>
    </row>
    <row r="48" spans="1:9" ht="11.25">
      <c r="A48" s="91" t="s">
        <v>64</v>
      </c>
      <c r="B48" s="132" t="s">
        <v>51</v>
      </c>
      <c r="C48" s="132"/>
      <c r="D48" s="132"/>
      <c r="E48" s="81">
        <v>48</v>
      </c>
      <c r="F48" s="90" t="s">
        <v>16</v>
      </c>
      <c r="G48" s="90">
        <v>4.67</v>
      </c>
      <c r="H48" s="90" t="s">
        <v>18</v>
      </c>
      <c r="I48" s="82">
        <f>ROUND(E48*G48,2)</f>
        <v>224.16</v>
      </c>
    </row>
    <row r="49" spans="1:10" ht="11.25">
      <c r="A49" s="91" t="s">
        <v>54</v>
      </c>
      <c r="B49" s="132" t="s">
        <v>53</v>
      </c>
      <c r="C49" s="132"/>
      <c r="D49" s="132"/>
      <c r="E49" s="81">
        <v>38771</v>
      </c>
      <c r="F49" s="90" t="s">
        <v>0</v>
      </c>
      <c r="G49" s="90">
        <v>6.594</v>
      </c>
      <c r="H49" s="90" t="s">
        <v>6</v>
      </c>
      <c r="I49" s="82">
        <f>ROUND(E49*G49/100,2)</f>
        <v>2556.56</v>
      </c>
      <c r="J49" s="25"/>
    </row>
    <row r="50" spans="1:9" ht="11.25">
      <c r="A50" s="118" t="s">
        <v>56</v>
      </c>
      <c r="B50" s="118"/>
      <c r="C50" s="118"/>
      <c r="D50" s="118"/>
      <c r="E50" s="118"/>
      <c r="F50" s="118"/>
      <c r="G50" s="118"/>
      <c r="H50" s="118"/>
      <c r="I50" s="118"/>
    </row>
    <row r="51" spans="1:9" ht="11.25">
      <c r="A51" s="91" t="s">
        <v>64</v>
      </c>
      <c r="B51" s="132" t="s">
        <v>51</v>
      </c>
      <c r="C51" s="132"/>
      <c r="D51" s="132"/>
      <c r="E51" s="34">
        <v>900</v>
      </c>
      <c r="F51" s="90" t="s">
        <v>16</v>
      </c>
      <c r="G51" s="90">
        <v>10.28</v>
      </c>
      <c r="H51" s="90" t="s">
        <v>18</v>
      </c>
      <c r="I51" s="95">
        <f>ROUND(E51*G51,2)</f>
        <v>9252</v>
      </c>
    </row>
    <row r="52" spans="1:10" ht="22.5">
      <c r="A52" s="91" t="s">
        <v>52</v>
      </c>
      <c r="B52" s="132" t="s">
        <v>53</v>
      </c>
      <c r="C52" s="132"/>
      <c r="D52" s="132"/>
      <c r="E52" s="81">
        <v>945424</v>
      </c>
      <c r="F52" s="90" t="s">
        <v>0</v>
      </c>
      <c r="G52" s="90">
        <v>4.225</v>
      </c>
      <c r="H52" s="90" t="s">
        <v>6</v>
      </c>
      <c r="I52" s="82">
        <f>ROUND(E52*G52/100,2)</f>
        <v>39944.16</v>
      </c>
      <c r="J52" s="25"/>
    </row>
    <row r="53" spans="1:9" ht="11.25">
      <c r="A53" s="91" t="s">
        <v>64</v>
      </c>
      <c r="B53" s="132" t="s">
        <v>51</v>
      </c>
      <c r="C53" s="132"/>
      <c r="D53" s="132"/>
      <c r="E53" s="81">
        <v>60</v>
      </c>
      <c r="F53" s="90" t="s">
        <v>16</v>
      </c>
      <c r="G53" s="90">
        <v>12.47</v>
      </c>
      <c r="H53" s="90" t="s">
        <v>18</v>
      </c>
      <c r="I53" s="82">
        <f>ROUND(E53*G53,2)</f>
        <v>748.2</v>
      </c>
    </row>
    <row r="54" spans="1:10" ht="11.25">
      <c r="A54" s="91" t="s">
        <v>54</v>
      </c>
      <c r="B54" s="132" t="s">
        <v>53</v>
      </c>
      <c r="C54" s="132"/>
      <c r="D54" s="132"/>
      <c r="E54" s="81">
        <v>76243</v>
      </c>
      <c r="F54" s="90" t="s">
        <v>0</v>
      </c>
      <c r="G54" s="90">
        <v>5.127</v>
      </c>
      <c r="H54" s="90" t="s">
        <v>6</v>
      </c>
      <c r="I54" s="82">
        <f>ROUND(E54*G54/100,2)</f>
        <v>3908.98</v>
      </c>
      <c r="J54" s="25"/>
    </row>
    <row r="55" spans="1:10" ht="11.25">
      <c r="A55" s="91" t="s">
        <v>65</v>
      </c>
      <c r="B55" s="140" t="s">
        <v>51</v>
      </c>
      <c r="C55" s="140"/>
      <c r="D55" s="140"/>
      <c r="E55" s="34">
        <v>12</v>
      </c>
      <c r="F55" s="90" t="s">
        <v>16</v>
      </c>
      <c r="G55" s="90" t="s">
        <v>67</v>
      </c>
      <c r="H55" s="90" t="s">
        <v>18</v>
      </c>
      <c r="I55" s="95">
        <f>(0.95*10.28+0.05*12.47)*12</f>
        <v>124.67399999999998</v>
      </c>
      <c r="J55" s="25"/>
    </row>
    <row r="56" spans="1:10" ht="22.5">
      <c r="A56" s="91" t="s">
        <v>66</v>
      </c>
      <c r="B56" s="140" t="s">
        <v>53</v>
      </c>
      <c r="C56" s="140"/>
      <c r="D56" s="140"/>
      <c r="E56" s="34">
        <v>13680</v>
      </c>
      <c r="F56" s="90" t="s">
        <v>0</v>
      </c>
      <c r="G56" s="90" t="s">
        <v>167</v>
      </c>
      <c r="H56" s="90" t="s">
        <v>6</v>
      </c>
      <c r="I56" s="95">
        <f>ROUND((0.95*4.225+0.05*5.127)*13680/100,2)</f>
        <v>584.15</v>
      </c>
      <c r="J56" s="25"/>
    </row>
    <row r="57" spans="1:9" ht="22.5">
      <c r="A57" s="91" t="s">
        <v>65</v>
      </c>
      <c r="B57" s="132" t="s">
        <v>51</v>
      </c>
      <c r="C57" s="132"/>
      <c r="D57" s="132"/>
      <c r="E57" s="34">
        <v>12</v>
      </c>
      <c r="F57" s="90" t="s">
        <v>16</v>
      </c>
      <c r="G57" s="90" t="s">
        <v>70</v>
      </c>
      <c r="H57" s="90" t="s">
        <v>18</v>
      </c>
      <c r="I57" s="95">
        <f>(0.6457*10.28+0.3543*12.47)*12</f>
        <v>132.671004</v>
      </c>
    </row>
    <row r="58" spans="1:10" ht="22.5">
      <c r="A58" s="91" t="s">
        <v>69</v>
      </c>
      <c r="B58" s="132" t="s">
        <v>53</v>
      </c>
      <c r="C58" s="132"/>
      <c r="D58" s="132"/>
      <c r="E58" s="34">
        <v>64627</v>
      </c>
      <c r="F58" s="90" t="s">
        <v>0</v>
      </c>
      <c r="G58" s="65" t="s">
        <v>168</v>
      </c>
      <c r="H58" s="90" t="s">
        <v>6</v>
      </c>
      <c r="I58" s="95">
        <f>ROUND((0.6457*4.225+0.3543*5.127)*64627/100,2)</f>
        <v>2937.02</v>
      </c>
      <c r="J58" s="25"/>
    </row>
    <row r="59" spans="1:10" ht="11.25">
      <c r="A59" s="147" t="s">
        <v>268</v>
      </c>
      <c r="B59" s="148"/>
      <c r="C59" s="148"/>
      <c r="D59" s="148"/>
      <c r="E59" s="148"/>
      <c r="F59" s="148"/>
      <c r="G59" s="148"/>
      <c r="H59" s="148"/>
      <c r="I59" s="149"/>
      <c r="J59" s="25"/>
    </row>
    <row r="60" spans="1:10" ht="11.25">
      <c r="A60" s="91" t="s">
        <v>64</v>
      </c>
      <c r="B60" s="150" t="s">
        <v>51</v>
      </c>
      <c r="C60" s="151"/>
      <c r="D60" s="152"/>
      <c r="E60" s="81">
        <v>12</v>
      </c>
      <c r="F60" s="90" t="s">
        <v>16</v>
      </c>
      <c r="G60" s="83">
        <v>13.28</v>
      </c>
      <c r="H60" s="90" t="s">
        <v>18</v>
      </c>
      <c r="I60" s="82">
        <f>ROUND(E60*G60,2)</f>
        <v>159.36</v>
      </c>
      <c r="J60" s="25"/>
    </row>
    <row r="61" spans="1:10" ht="11.25">
      <c r="A61" s="91" t="s">
        <v>54</v>
      </c>
      <c r="B61" s="150" t="s">
        <v>53</v>
      </c>
      <c r="C61" s="151"/>
      <c r="D61" s="152"/>
      <c r="E61" s="81">
        <v>33060</v>
      </c>
      <c r="F61" s="90" t="s">
        <v>0</v>
      </c>
      <c r="G61" s="83" t="s">
        <v>269</v>
      </c>
      <c r="H61" s="90" t="s">
        <v>6</v>
      </c>
      <c r="I61" s="82">
        <f>ROUND(E61*G61/100,2)</f>
        <v>1694.99</v>
      </c>
      <c r="J61" s="25"/>
    </row>
    <row r="62" spans="1:9" ht="11.25">
      <c r="A62" s="118" t="s">
        <v>57</v>
      </c>
      <c r="B62" s="118"/>
      <c r="C62" s="118"/>
      <c r="D62" s="118"/>
      <c r="E62" s="118"/>
      <c r="F62" s="118"/>
      <c r="G62" s="118"/>
      <c r="H62" s="118"/>
      <c r="I62" s="118"/>
    </row>
    <row r="63" spans="1:9" ht="11.25">
      <c r="A63" s="97" t="s">
        <v>64</v>
      </c>
      <c r="B63" s="135" t="s">
        <v>51</v>
      </c>
      <c r="C63" s="135"/>
      <c r="D63" s="135"/>
      <c r="E63" s="84">
        <v>996</v>
      </c>
      <c r="F63" s="41" t="s">
        <v>16</v>
      </c>
      <c r="G63" s="41">
        <v>34.8</v>
      </c>
      <c r="H63" s="41" t="s">
        <v>18</v>
      </c>
      <c r="I63" s="85">
        <f>ROUND(E63*G63,2)</f>
        <v>34660.8</v>
      </c>
    </row>
    <row r="64" spans="1:10" ht="22.5">
      <c r="A64" s="97" t="s">
        <v>52</v>
      </c>
      <c r="B64" s="132" t="s">
        <v>53</v>
      </c>
      <c r="C64" s="132"/>
      <c r="D64" s="132"/>
      <c r="E64" s="81">
        <v>3493382</v>
      </c>
      <c r="F64" s="90" t="s">
        <v>0</v>
      </c>
      <c r="G64" s="90">
        <v>3.642</v>
      </c>
      <c r="H64" s="90" t="s">
        <v>6</v>
      </c>
      <c r="I64" s="82">
        <f>ROUND(E64*G64/100,2)</f>
        <v>127228.97</v>
      </c>
      <c r="J64" s="25"/>
    </row>
    <row r="65" spans="1:9" ht="11.25">
      <c r="A65" s="94" t="s">
        <v>64</v>
      </c>
      <c r="B65" s="132" t="s">
        <v>51</v>
      </c>
      <c r="C65" s="132"/>
      <c r="D65" s="132"/>
      <c r="E65" s="81">
        <v>252</v>
      </c>
      <c r="F65" s="90" t="s">
        <v>16</v>
      </c>
      <c r="G65" s="90">
        <v>42.23</v>
      </c>
      <c r="H65" s="90" t="s">
        <v>18</v>
      </c>
      <c r="I65" s="82">
        <f>ROUND(E65*G65,2)</f>
        <v>10641.96</v>
      </c>
    </row>
    <row r="66" spans="1:10" ht="11.25">
      <c r="A66" s="93" t="s">
        <v>54</v>
      </c>
      <c r="B66" s="132" t="s">
        <v>53</v>
      </c>
      <c r="C66" s="132"/>
      <c r="D66" s="132"/>
      <c r="E66" s="81">
        <v>857587</v>
      </c>
      <c r="F66" s="90" t="s">
        <v>0</v>
      </c>
      <c r="G66" s="90">
        <v>4.419</v>
      </c>
      <c r="H66" s="90" t="s">
        <v>6</v>
      </c>
      <c r="I66" s="82">
        <f>ROUND(E66*G66/100,2)</f>
        <v>37896.77</v>
      </c>
      <c r="J66" s="25"/>
    </row>
    <row r="67" spans="1:9" ht="11.25">
      <c r="A67" s="94" t="s">
        <v>65</v>
      </c>
      <c r="B67" s="132" t="s">
        <v>51</v>
      </c>
      <c r="C67" s="132"/>
      <c r="D67" s="132"/>
      <c r="E67" s="34">
        <v>72</v>
      </c>
      <c r="F67" s="90" t="s">
        <v>16</v>
      </c>
      <c r="G67" s="90" t="s">
        <v>73</v>
      </c>
      <c r="H67" s="90" t="s">
        <v>18</v>
      </c>
      <c r="I67" s="95">
        <f>(0.98*34.8+0.02*42.23)*12*6</f>
        <v>2516.2992</v>
      </c>
    </row>
    <row r="68" spans="1:10" ht="22.5">
      <c r="A68" s="93" t="s">
        <v>72</v>
      </c>
      <c r="B68" s="132" t="s">
        <v>53</v>
      </c>
      <c r="C68" s="132"/>
      <c r="D68" s="132"/>
      <c r="E68" s="34">
        <v>225173</v>
      </c>
      <c r="F68" s="90" t="s">
        <v>0</v>
      </c>
      <c r="G68" s="90" t="s">
        <v>169</v>
      </c>
      <c r="H68" s="90" t="s">
        <v>6</v>
      </c>
      <c r="I68" s="95">
        <f>ROUND((0.98*3.642+0.02*4.419)*225173/100,2)</f>
        <v>8235.79</v>
      </c>
      <c r="J68" s="25"/>
    </row>
    <row r="69" spans="1:10" ht="22.5">
      <c r="A69" s="97" t="s">
        <v>65</v>
      </c>
      <c r="B69" s="132" t="s">
        <v>51</v>
      </c>
      <c r="C69" s="132"/>
      <c r="D69" s="132"/>
      <c r="E69" s="34">
        <v>12</v>
      </c>
      <c r="F69" s="90" t="s">
        <v>16</v>
      </c>
      <c r="G69" s="90" t="s">
        <v>165</v>
      </c>
      <c r="H69" s="90" t="s">
        <v>18</v>
      </c>
      <c r="I69" s="95">
        <f>(0.9759*34.8+0.0241*42.23)*12</f>
        <v>419.74875599999996</v>
      </c>
      <c r="J69" s="25"/>
    </row>
    <row r="70" spans="1:10" ht="22.5">
      <c r="A70" s="97" t="s">
        <v>75</v>
      </c>
      <c r="B70" s="132" t="s">
        <v>53</v>
      </c>
      <c r="C70" s="132"/>
      <c r="D70" s="132"/>
      <c r="E70" s="34">
        <v>40710</v>
      </c>
      <c r="F70" s="90" t="s">
        <v>0</v>
      </c>
      <c r="G70" s="90" t="s">
        <v>170</v>
      </c>
      <c r="H70" s="90" t="s">
        <v>6</v>
      </c>
      <c r="I70" s="95">
        <f>ROUND((0.9759*3.642+0.0241*4.419)*40710/100,2)</f>
        <v>1490.28</v>
      </c>
      <c r="J70" s="25"/>
    </row>
    <row r="71" spans="1:10" ht="11.25">
      <c r="A71" s="94" t="s">
        <v>65</v>
      </c>
      <c r="B71" s="132" t="s">
        <v>51</v>
      </c>
      <c r="C71" s="132"/>
      <c r="D71" s="132"/>
      <c r="E71" s="34">
        <v>12</v>
      </c>
      <c r="F71" s="90" t="s">
        <v>16</v>
      </c>
      <c r="G71" s="90" t="s">
        <v>77</v>
      </c>
      <c r="H71" s="90" t="s">
        <v>18</v>
      </c>
      <c r="I71" s="95">
        <f>(0.9*34.8+0.1*42.23)*12</f>
        <v>426.51599999999996</v>
      </c>
      <c r="J71" s="25"/>
    </row>
    <row r="72" spans="1:10" ht="22.5">
      <c r="A72" s="93" t="s">
        <v>76</v>
      </c>
      <c r="B72" s="132" t="s">
        <v>53</v>
      </c>
      <c r="C72" s="132"/>
      <c r="D72" s="132"/>
      <c r="E72" s="34">
        <v>28500</v>
      </c>
      <c r="F72" s="90" t="s">
        <v>0</v>
      </c>
      <c r="G72" s="90" t="s">
        <v>171</v>
      </c>
      <c r="H72" s="90" t="s">
        <v>6</v>
      </c>
      <c r="I72" s="95">
        <f>ROUND((0.9*3.642+0.1*4.419)*28648/100,2)</f>
        <v>1065.62</v>
      </c>
      <c r="J72" s="25"/>
    </row>
    <row r="73" spans="1:10" ht="22.5">
      <c r="A73" s="97" t="s">
        <v>65</v>
      </c>
      <c r="B73" s="132" t="s">
        <v>51</v>
      </c>
      <c r="C73" s="132"/>
      <c r="D73" s="132"/>
      <c r="E73" s="34">
        <v>12</v>
      </c>
      <c r="F73" s="90" t="s">
        <v>16</v>
      </c>
      <c r="G73" s="90" t="s">
        <v>80</v>
      </c>
      <c r="H73" s="90" t="s">
        <v>18</v>
      </c>
      <c r="I73" s="95">
        <f>(0.8838*34.8+0.1162*42.23)*12</f>
        <v>427.96039199999996</v>
      </c>
      <c r="J73" s="25"/>
    </row>
    <row r="74" spans="1:10" ht="22.5">
      <c r="A74" s="97" t="s">
        <v>79</v>
      </c>
      <c r="B74" s="132" t="s">
        <v>53</v>
      </c>
      <c r="C74" s="132"/>
      <c r="D74" s="132"/>
      <c r="E74" s="34">
        <v>40948</v>
      </c>
      <c r="F74" s="90" t="s">
        <v>0</v>
      </c>
      <c r="G74" s="90" t="s">
        <v>172</v>
      </c>
      <c r="H74" s="90" t="s">
        <v>6</v>
      </c>
      <c r="I74" s="95">
        <f>ROUND((0.8838*3.642+0.1162*4.419)*40948/100,2)</f>
        <v>1528.3</v>
      </c>
      <c r="J74" s="25"/>
    </row>
    <row r="75" spans="1:10" ht="22.5">
      <c r="A75" s="94" t="s">
        <v>65</v>
      </c>
      <c r="B75" s="132" t="s">
        <v>51</v>
      </c>
      <c r="C75" s="132"/>
      <c r="D75" s="132"/>
      <c r="E75" s="34">
        <v>12</v>
      </c>
      <c r="F75" s="90" t="s">
        <v>16</v>
      </c>
      <c r="G75" s="90" t="s">
        <v>82</v>
      </c>
      <c r="H75" s="90" t="s">
        <v>18</v>
      </c>
      <c r="I75" s="95">
        <f>(0.8024*34.8+0.1976*42.23)*12</f>
        <v>435.2180159999999</v>
      </c>
      <c r="J75" s="25"/>
    </row>
    <row r="76" spans="1:10" ht="22.5">
      <c r="A76" s="93" t="s">
        <v>81</v>
      </c>
      <c r="B76" s="132" t="s">
        <v>53</v>
      </c>
      <c r="C76" s="132"/>
      <c r="D76" s="132"/>
      <c r="E76" s="34">
        <v>66052</v>
      </c>
      <c r="F76" s="90" t="s">
        <v>0</v>
      </c>
      <c r="G76" s="90" t="s">
        <v>173</v>
      </c>
      <c r="H76" s="90" t="s">
        <v>6</v>
      </c>
      <c r="I76" s="95">
        <f>ROUND((0.8024*3.642+0.1976*4.419)*66052/100,2)</f>
        <v>2507.03</v>
      </c>
      <c r="J76" s="25"/>
    </row>
    <row r="77" spans="1:10" ht="11.25">
      <c r="A77" s="94" t="s">
        <v>65</v>
      </c>
      <c r="B77" s="132" t="s">
        <v>51</v>
      </c>
      <c r="C77" s="132"/>
      <c r="D77" s="132"/>
      <c r="E77" s="34">
        <v>12</v>
      </c>
      <c r="F77" s="90" t="s">
        <v>16</v>
      </c>
      <c r="G77" s="90" t="s">
        <v>86</v>
      </c>
      <c r="H77" s="90" t="s">
        <v>18</v>
      </c>
      <c r="I77" s="95">
        <f>(0.7*34.8+0.3*42.23)*12</f>
        <v>444.34799999999996</v>
      </c>
      <c r="J77" s="25"/>
    </row>
    <row r="78" spans="1:10" ht="22.5">
      <c r="A78" s="93" t="s">
        <v>85</v>
      </c>
      <c r="B78" s="132" t="s">
        <v>53</v>
      </c>
      <c r="C78" s="132"/>
      <c r="D78" s="132"/>
      <c r="E78" s="34">
        <v>36457</v>
      </c>
      <c r="F78" s="90" t="s">
        <v>0</v>
      </c>
      <c r="G78" s="90" t="s">
        <v>174</v>
      </c>
      <c r="H78" s="90" t="s">
        <v>6</v>
      </c>
      <c r="I78" s="95">
        <f>ROUND((0.7*3.642+0.3*4.419)*36457/100,2)</f>
        <v>1412.75</v>
      </c>
      <c r="J78" s="25"/>
    </row>
    <row r="79" spans="1:10" ht="22.5">
      <c r="A79" s="94" t="s">
        <v>65</v>
      </c>
      <c r="B79" s="132" t="s">
        <v>51</v>
      </c>
      <c r="C79" s="132"/>
      <c r="D79" s="132"/>
      <c r="E79" s="34">
        <v>12</v>
      </c>
      <c r="F79" s="90" t="s">
        <v>16</v>
      </c>
      <c r="G79" s="90" t="s">
        <v>89</v>
      </c>
      <c r="H79" s="90" t="s">
        <v>18</v>
      </c>
      <c r="I79" s="95">
        <f>(0.6749*34.8+0.3251*42.23)*12</f>
        <v>446.58591599999994</v>
      </c>
      <c r="J79" s="25"/>
    </row>
    <row r="80" spans="1:10" ht="22.5">
      <c r="A80" s="93" t="s">
        <v>88</v>
      </c>
      <c r="B80" s="132" t="s">
        <v>53</v>
      </c>
      <c r="C80" s="132"/>
      <c r="D80" s="132"/>
      <c r="E80" s="34">
        <v>40824</v>
      </c>
      <c r="F80" s="90" t="s">
        <v>0</v>
      </c>
      <c r="G80" s="90" t="s">
        <v>175</v>
      </c>
      <c r="H80" s="90" t="s">
        <v>6</v>
      </c>
      <c r="I80" s="95">
        <f>ROUND((0.6749*3.642+0.3251*4.419)*40824/100,2)</f>
        <v>1589.93</v>
      </c>
      <c r="J80" s="25"/>
    </row>
    <row r="81" spans="1:10" ht="11.25">
      <c r="A81" s="94" t="s">
        <v>65</v>
      </c>
      <c r="B81" s="132" t="s">
        <v>51</v>
      </c>
      <c r="C81" s="132"/>
      <c r="D81" s="132"/>
      <c r="E81" s="81">
        <v>24</v>
      </c>
      <c r="F81" s="90" t="s">
        <v>16</v>
      </c>
      <c r="G81" s="87" t="s">
        <v>270</v>
      </c>
      <c r="H81" s="90" t="s">
        <v>18</v>
      </c>
      <c r="I81" s="82">
        <f>(0.5*34.8+0.5*42.23)*12*2</f>
        <v>924.36</v>
      </c>
      <c r="J81" s="25"/>
    </row>
    <row r="82" spans="1:10" ht="22.5">
      <c r="A82" s="93" t="s">
        <v>55</v>
      </c>
      <c r="B82" s="132" t="s">
        <v>53</v>
      </c>
      <c r="C82" s="132"/>
      <c r="D82" s="132"/>
      <c r="E82" s="81">
        <v>41714</v>
      </c>
      <c r="F82" s="90" t="s">
        <v>0</v>
      </c>
      <c r="G82" s="87" t="s">
        <v>272</v>
      </c>
      <c r="H82" s="90" t="s">
        <v>6</v>
      </c>
      <c r="I82" s="82">
        <f>ROUND((0.5*3.642+0.5*4.419)*41714/100,2)</f>
        <v>1681.28</v>
      </c>
      <c r="J82" s="25"/>
    </row>
    <row r="83" spans="1:10" ht="22.5">
      <c r="A83" s="97" t="s">
        <v>65</v>
      </c>
      <c r="B83" s="140" t="s">
        <v>51</v>
      </c>
      <c r="C83" s="140"/>
      <c r="D83" s="140"/>
      <c r="E83" s="34">
        <v>12</v>
      </c>
      <c r="F83" s="90" t="s">
        <v>16</v>
      </c>
      <c r="G83" s="90" t="s">
        <v>92</v>
      </c>
      <c r="H83" s="90" t="s">
        <v>18</v>
      </c>
      <c r="I83" s="95">
        <f>(0.3147*34.8+0.6853*42.23)*12</f>
        <v>478.701348</v>
      </c>
      <c r="J83" s="25"/>
    </row>
    <row r="84" spans="1:10" ht="22.5">
      <c r="A84" s="97" t="s">
        <v>91</v>
      </c>
      <c r="B84" s="153" t="s">
        <v>53</v>
      </c>
      <c r="C84" s="153"/>
      <c r="D84" s="153"/>
      <c r="E84" s="67">
        <v>115995</v>
      </c>
      <c r="F84" s="44" t="s">
        <v>0</v>
      </c>
      <c r="G84" s="44" t="s">
        <v>176</v>
      </c>
      <c r="H84" s="44" t="s">
        <v>6</v>
      </c>
      <c r="I84" s="68">
        <f>ROUND((0.3147*3.642+0.6853*4.419)*115995/100,2)</f>
        <v>4842.19</v>
      </c>
      <c r="J84" s="25"/>
    </row>
    <row r="85" spans="1:9" ht="11.25">
      <c r="A85" s="118" t="s">
        <v>58</v>
      </c>
      <c r="B85" s="118"/>
      <c r="C85" s="118"/>
      <c r="D85" s="118"/>
      <c r="E85" s="118"/>
      <c r="F85" s="118"/>
      <c r="G85" s="118"/>
      <c r="H85" s="118"/>
      <c r="I85" s="118"/>
    </row>
    <row r="86" spans="1:9" ht="11.25">
      <c r="A86" s="94" t="s">
        <v>64</v>
      </c>
      <c r="B86" s="135" t="s">
        <v>51</v>
      </c>
      <c r="C86" s="135"/>
      <c r="D86" s="135"/>
      <c r="E86" s="63">
        <v>12</v>
      </c>
      <c r="F86" s="41" t="s">
        <v>16</v>
      </c>
      <c r="G86" s="41">
        <v>36.44</v>
      </c>
      <c r="H86" s="41" t="s">
        <v>18</v>
      </c>
      <c r="I86" s="64">
        <f>ROUND(E86*G86,2)</f>
        <v>437.28</v>
      </c>
    </row>
    <row r="87" spans="1:10" ht="22.5">
      <c r="A87" s="93" t="s">
        <v>52</v>
      </c>
      <c r="B87" s="132" t="s">
        <v>53</v>
      </c>
      <c r="C87" s="132"/>
      <c r="D87" s="132"/>
      <c r="E87" s="34">
        <v>65550</v>
      </c>
      <c r="F87" s="90" t="s">
        <v>0</v>
      </c>
      <c r="G87" s="90">
        <v>3.642</v>
      </c>
      <c r="H87" s="90" t="s">
        <v>6</v>
      </c>
      <c r="I87" s="95">
        <f>ROUND(E87*G87/100,2)</f>
        <v>2387.33</v>
      </c>
      <c r="J87" s="25"/>
    </row>
    <row r="88" spans="1:10" ht="22.5">
      <c r="A88" s="97" t="s">
        <v>65</v>
      </c>
      <c r="B88" s="132" t="s">
        <v>51</v>
      </c>
      <c r="C88" s="132"/>
      <c r="D88" s="132"/>
      <c r="E88" s="34">
        <v>12</v>
      </c>
      <c r="F88" s="90" t="s">
        <v>16</v>
      </c>
      <c r="G88" s="90" t="s">
        <v>95</v>
      </c>
      <c r="H88" s="90" t="s">
        <v>18</v>
      </c>
      <c r="I88" s="95">
        <f>(0.6058*36.44+0.3942*44.22)*12</f>
        <v>474.08251199999995</v>
      </c>
      <c r="J88" s="25"/>
    </row>
    <row r="89" spans="1:10" ht="22.5">
      <c r="A89" s="97" t="s">
        <v>94</v>
      </c>
      <c r="B89" s="154" t="s">
        <v>53</v>
      </c>
      <c r="C89" s="154"/>
      <c r="D89" s="154"/>
      <c r="E89" s="67">
        <v>82650</v>
      </c>
      <c r="F89" s="44" t="s">
        <v>0</v>
      </c>
      <c r="G89" s="44" t="s">
        <v>177</v>
      </c>
      <c r="H89" s="44" t="s">
        <v>6</v>
      </c>
      <c r="I89" s="68">
        <f>ROUND((0.6058*3.642+0.3942*4.419)*82650/100,2)</f>
        <v>3263.26</v>
      </c>
      <c r="J89" s="25"/>
    </row>
    <row r="90" spans="1:9" ht="11.25">
      <c r="A90" s="118" t="s">
        <v>59</v>
      </c>
      <c r="B90" s="118"/>
      <c r="C90" s="118"/>
      <c r="D90" s="118"/>
      <c r="E90" s="118"/>
      <c r="F90" s="118"/>
      <c r="G90" s="118"/>
      <c r="H90" s="118"/>
      <c r="I90" s="118"/>
    </row>
    <row r="91" spans="1:9" ht="11.25">
      <c r="A91" s="94" t="s">
        <v>64</v>
      </c>
      <c r="B91" s="155" t="s">
        <v>51</v>
      </c>
      <c r="C91" s="155"/>
      <c r="D91" s="155"/>
      <c r="E91" s="84">
        <v>204</v>
      </c>
      <c r="F91" s="41" t="s">
        <v>16</v>
      </c>
      <c r="G91" s="41">
        <v>187.54</v>
      </c>
      <c r="H91" s="41" t="s">
        <v>18</v>
      </c>
      <c r="I91" s="85">
        <f>ROUND(E91*G91,2)</f>
        <v>38258.16</v>
      </c>
    </row>
    <row r="92" spans="1:10" ht="22.5">
      <c r="A92" s="93" t="s">
        <v>52</v>
      </c>
      <c r="B92" s="140" t="s">
        <v>53</v>
      </c>
      <c r="C92" s="140"/>
      <c r="D92" s="140"/>
      <c r="E92" s="81">
        <v>2217261</v>
      </c>
      <c r="F92" s="90" t="s">
        <v>0</v>
      </c>
      <c r="G92" s="90">
        <v>3.457</v>
      </c>
      <c r="H92" s="90" t="s">
        <v>6</v>
      </c>
      <c r="I92" s="82">
        <f>ROUND(E92*G92/100,2)</f>
        <v>76650.71</v>
      </c>
      <c r="J92" s="25"/>
    </row>
    <row r="93" spans="1:9" ht="11.25">
      <c r="A93" s="94" t="s">
        <v>64</v>
      </c>
      <c r="B93" s="140" t="s">
        <v>51</v>
      </c>
      <c r="C93" s="140"/>
      <c r="D93" s="140"/>
      <c r="E93" s="81">
        <v>144</v>
      </c>
      <c r="F93" s="90" t="s">
        <v>16</v>
      </c>
      <c r="G93" s="90">
        <v>227.58</v>
      </c>
      <c r="H93" s="90" t="s">
        <v>18</v>
      </c>
      <c r="I93" s="82">
        <f>ROUND(E93*G93,2)</f>
        <v>32771.52</v>
      </c>
    </row>
    <row r="94" spans="1:10" ht="11.25">
      <c r="A94" s="93" t="s">
        <v>54</v>
      </c>
      <c r="B94" s="140" t="s">
        <v>53</v>
      </c>
      <c r="C94" s="140"/>
      <c r="D94" s="140"/>
      <c r="E94" s="81">
        <v>1663510</v>
      </c>
      <c r="F94" s="90" t="s">
        <v>0</v>
      </c>
      <c r="G94" s="90">
        <v>4.195</v>
      </c>
      <c r="H94" s="90" t="s">
        <v>6</v>
      </c>
      <c r="I94" s="82">
        <f>ROUND(E94*G94/100,2)</f>
        <v>69784.24</v>
      </c>
      <c r="J94" s="25"/>
    </row>
    <row r="95" spans="1:9" ht="11.25">
      <c r="A95" s="94" t="s">
        <v>65</v>
      </c>
      <c r="B95" s="132" t="s">
        <v>51</v>
      </c>
      <c r="C95" s="132"/>
      <c r="D95" s="132"/>
      <c r="E95" s="34">
        <v>12</v>
      </c>
      <c r="F95" s="90" t="s">
        <v>16</v>
      </c>
      <c r="G95" s="90" t="s">
        <v>98</v>
      </c>
      <c r="H95" s="90" t="s">
        <v>18</v>
      </c>
      <c r="I95" s="95">
        <f>(0.8*187.54+0.2*227.58)*12</f>
        <v>2346.576</v>
      </c>
    </row>
    <row r="96" spans="1:10" ht="22.5">
      <c r="A96" s="93" t="s">
        <v>97</v>
      </c>
      <c r="B96" s="132" t="s">
        <v>53</v>
      </c>
      <c r="C96" s="132"/>
      <c r="D96" s="132"/>
      <c r="E96" s="34">
        <v>136800</v>
      </c>
      <c r="F96" s="90" t="s">
        <v>0</v>
      </c>
      <c r="G96" s="90" t="s">
        <v>178</v>
      </c>
      <c r="H96" s="90" t="s">
        <v>6</v>
      </c>
      <c r="I96" s="95">
        <f>ROUND((0.8*3.457+0.2*4.195)*136800/100,2)</f>
        <v>4931.09</v>
      </c>
      <c r="J96" s="25"/>
    </row>
    <row r="97" spans="1:9" ht="22.5">
      <c r="A97" s="94" t="s">
        <v>65</v>
      </c>
      <c r="B97" s="132" t="s">
        <v>51</v>
      </c>
      <c r="C97" s="132"/>
      <c r="D97" s="132"/>
      <c r="E97" s="34">
        <v>12</v>
      </c>
      <c r="F97" s="90" t="s">
        <v>16</v>
      </c>
      <c r="G97" s="90" t="s">
        <v>101</v>
      </c>
      <c r="H97" s="90" t="s">
        <v>18</v>
      </c>
      <c r="I97" s="95">
        <f>(0.7757*187.54+0.2243*227.58)*12</f>
        <v>2358.2516639999994</v>
      </c>
    </row>
    <row r="98" spans="1:10" ht="22.5">
      <c r="A98" s="93" t="s">
        <v>100</v>
      </c>
      <c r="B98" s="132" t="s">
        <v>53</v>
      </c>
      <c r="C98" s="132"/>
      <c r="D98" s="132"/>
      <c r="E98" s="34">
        <v>101050</v>
      </c>
      <c r="F98" s="90" t="s">
        <v>0</v>
      </c>
      <c r="G98" s="90" t="s">
        <v>179</v>
      </c>
      <c r="H98" s="90" t="s">
        <v>6</v>
      </c>
      <c r="I98" s="95">
        <f>ROUND((0.7757*3.457+0.2243*4.195)*101050/100,2)</f>
        <v>3660.57</v>
      </c>
      <c r="J98" s="25"/>
    </row>
    <row r="99" spans="1:10" ht="11.25">
      <c r="A99" s="94" t="s">
        <v>65</v>
      </c>
      <c r="B99" s="132" t="s">
        <v>51</v>
      </c>
      <c r="C99" s="132"/>
      <c r="D99" s="132"/>
      <c r="E99" s="34">
        <v>12</v>
      </c>
      <c r="F99" s="90" t="s">
        <v>16</v>
      </c>
      <c r="G99" s="90" t="s">
        <v>104</v>
      </c>
      <c r="H99" s="90" t="s">
        <v>18</v>
      </c>
      <c r="I99" s="95">
        <f>(0.6*187.54+0.4*227.58)*12</f>
        <v>2442.6719999999996</v>
      </c>
      <c r="J99" s="25"/>
    </row>
    <row r="100" spans="1:10" ht="22.5">
      <c r="A100" s="93" t="s">
        <v>103</v>
      </c>
      <c r="B100" s="132" t="s">
        <v>53</v>
      </c>
      <c r="C100" s="132"/>
      <c r="D100" s="132"/>
      <c r="E100" s="34">
        <v>252456</v>
      </c>
      <c r="F100" s="90" t="s">
        <v>0</v>
      </c>
      <c r="G100" s="90" t="s">
        <v>180</v>
      </c>
      <c r="H100" s="90" t="s">
        <v>6</v>
      </c>
      <c r="I100" s="95">
        <f>ROUND((0.6*3.457+0.4*4.195)*252456/100,2)</f>
        <v>9472.65</v>
      </c>
      <c r="J100" s="25"/>
    </row>
    <row r="101" spans="1:10" ht="11.25">
      <c r="A101" s="94" t="s">
        <v>65</v>
      </c>
      <c r="B101" s="132" t="s">
        <v>51</v>
      </c>
      <c r="C101" s="132"/>
      <c r="D101" s="132"/>
      <c r="E101" s="34">
        <v>12</v>
      </c>
      <c r="F101" s="90" t="s">
        <v>16</v>
      </c>
      <c r="G101" s="90" t="s">
        <v>107</v>
      </c>
      <c r="H101" s="90" t="s">
        <v>18</v>
      </c>
      <c r="I101" s="95">
        <f>(0.5*187.54+0.5*227.58)*12</f>
        <v>2490.7200000000003</v>
      </c>
      <c r="J101" s="25"/>
    </row>
    <row r="102" spans="1:10" ht="22.5">
      <c r="A102" s="93" t="s">
        <v>106</v>
      </c>
      <c r="B102" s="132" t="s">
        <v>53</v>
      </c>
      <c r="C102" s="132"/>
      <c r="D102" s="132"/>
      <c r="E102" s="34">
        <v>114000</v>
      </c>
      <c r="F102" s="90" t="s">
        <v>0</v>
      </c>
      <c r="G102" s="90" t="s">
        <v>181</v>
      </c>
      <c r="H102" s="90" t="s">
        <v>6</v>
      </c>
      <c r="I102" s="95">
        <f>ROUND((0.5*3.457+0.5*4.195)*114000/100,2)</f>
        <v>4361.64</v>
      </c>
      <c r="J102" s="25"/>
    </row>
    <row r="103" spans="1:9" ht="11.25">
      <c r="A103" s="97" t="s">
        <v>65</v>
      </c>
      <c r="B103" s="132" t="s">
        <v>51</v>
      </c>
      <c r="C103" s="132"/>
      <c r="D103" s="132"/>
      <c r="E103" s="34">
        <v>12</v>
      </c>
      <c r="F103" s="90" t="s">
        <v>16</v>
      </c>
      <c r="G103" s="90" t="s">
        <v>110</v>
      </c>
      <c r="H103" s="90" t="s">
        <v>18</v>
      </c>
      <c r="I103" s="95">
        <f>(0.23*187.54+0.77*227.58)*12</f>
        <v>2620.4496</v>
      </c>
    </row>
    <row r="104" spans="1:11" ht="22.5">
      <c r="A104" s="97" t="s">
        <v>109</v>
      </c>
      <c r="B104" s="154" t="s">
        <v>53</v>
      </c>
      <c r="C104" s="154"/>
      <c r="D104" s="154"/>
      <c r="E104" s="67">
        <v>118425</v>
      </c>
      <c r="F104" s="44" t="s">
        <v>0</v>
      </c>
      <c r="G104" s="44" t="s">
        <v>182</v>
      </c>
      <c r="H104" s="44" t="s">
        <v>6</v>
      </c>
      <c r="I104" s="68">
        <f>ROUND((0.23*3.457+0.77*4.195)*118425/100,2)</f>
        <v>4766.91</v>
      </c>
      <c r="J104" s="25"/>
      <c r="K104" s="25"/>
    </row>
    <row r="105" spans="1:9" ht="11.25">
      <c r="A105" s="118" t="s">
        <v>61</v>
      </c>
      <c r="B105" s="118"/>
      <c r="C105" s="118"/>
      <c r="D105" s="118"/>
      <c r="E105" s="118"/>
      <c r="F105" s="118"/>
      <c r="G105" s="118"/>
      <c r="H105" s="118"/>
      <c r="I105" s="118"/>
    </row>
    <row r="106" spans="1:12" ht="22.5">
      <c r="A106" s="97" t="s">
        <v>64</v>
      </c>
      <c r="B106" s="135" t="s">
        <v>51</v>
      </c>
      <c r="C106" s="135"/>
      <c r="D106" s="135"/>
      <c r="E106" s="63">
        <v>120327360</v>
      </c>
      <c r="F106" s="41" t="s">
        <v>62</v>
      </c>
      <c r="G106" s="41">
        <v>0.565</v>
      </c>
      <c r="H106" s="41" t="s">
        <v>63</v>
      </c>
      <c r="I106" s="64">
        <f>ROUND(E106*G106/100,2)</f>
        <v>679849.58</v>
      </c>
      <c r="L106" s="24"/>
    </row>
    <row r="107" spans="1:12" ht="22.5">
      <c r="A107" s="97" t="s">
        <v>52</v>
      </c>
      <c r="B107" s="132" t="s">
        <v>53</v>
      </c>
      <c r="C107" s="132"/>
      <c r="D107" s="132"/>
      <c r="E107" s="34">
        <v>24309048</v>
      </c>
      <c r="F107" s="90" t="s">
        <v>0</v>
      </c>
      <c r="G107" s="90">
        <v>2.416</v>
      </c>
      <c r="H107" s="90" t="s">
        <v>6</v>
      </c>
      <c r="I107" s="95">
        <f>ROUND(E107*G107/100,2)</f>
        <v>587306.6</v>
      </c>
      <c r="J107" s="25"/>
      <c r="L107" s="24"/>
    </row>
    <row r="108" spans="1:9" ht="22.5">
      <c r="A108" s="94" t="s">
        <v>64</v>
      </c>
      <c r="B108" s="132" t="s">
        <v>51</v>
      </c>
      <c r="C108" s="132"/>
      <c r="D108" s="132"/>
      <c r="E108" s="34">
        <v>14191200</v>
      </c>
      <c r="F108" s="90" t="s">
        <v>62</v>
      </c>
      <c r="G108" s="90">
        <v>0.686</v>
      </c>
      <c r="H108" s="90" t="s">
        <v>63</v>
      </c>
      <c r="I108" s="95">
        <f>ROUND(E108*G108/100,2)</f>
        <v>97351.63</v>
      </c>
    </row>
    <row r="109" spans="1:10" ht="11.25">
      <c r="A109" s="93" t="s">
        <v>54</v>
      </c>
      <c r="B109" s="132" t="s">
        <v>53</v>
      </c>
      <c r="C109" s="132"/>
      <c r="D109" s="132"/>
      <c r="E109" s="34">
        <v>2182258</v>
      </c>
      <c r="F109" s="90" t="s">
        <v>0</v>
      </c>
      <c r="G109" s="90">
        <v>2.932</v>
      </c>
      <c r="H109" s="90" t="s">
        <v>6</v>
      </c>
      <c r="I109" s="95">
        <f>ROUND(E109*G109/100,2)</f>
        <v>63983.8</v>
      </c>
      <c r="J109" s="25"/>
    </row>
    <row r="110" spans="1:10" ht="22.5">
      <c r="A110" s="94" t="s">
        <v>65</v>
      </c>
      <c r="B110" s="132" t="s">
        <v>51</v>
      </c>
      <c r="C110" s="132"/>
      <c r="D110" s="132"/>
      <c r="E110" s="34">
        <v>2207520</v>
      </c>
      <c r="F110" s="90" t="s">
        <v>62</v>
      </c>
      <c r="G110" s="90" t="s">
        <v>184</v>
      </c>
      <c r="H110" s="90" t="s">
        <v>63</v>
      </c>
      <c r="I110" s="95">
        <f>ROUND(((362*24*252*0.565)+(3*24*252*0.686))/100,2)</f>
        <v>12494.44</v>
      </c>
      <c r="J110" s="25"/>
    </row>
    <row r="111" spans="1:10" ht="22.5">
      <c r="A111" s="93" t="s">
        <v>112</v>
      </c>
      <c r="B111" s="132" t="s">
        <v>53</v>
      </c>
      <c r="C111" s="132"/>
      <c r="D111" s="132"/>
      <c r="E111" s="34">
        <v>329609</v>
      </c>
      <c r="F111" s="90" t="s">
        <v>0</v>
      </c>
      <c r="G111" s="90" t="s">
        <v>183</v>
      </c>
      <c r="H111" s="90" t="s">
        <v>6</v>
      </c>
      <c r="I111" s="95">
        <f>ROUND((0.993*2.416+0.007*2.932)*329609/100,2)</f>
        <v>7975.26</v>
      </c>
      <c r="J111" s="25"/>
    </row>
    <row r="112" spans="1:10" ht="22.5">
      <c r="A112" s="94" t="s">
        <v>65</v>
      </c>
      <c r="B112" s="132" t="s">
        <v>51</v>
      </c>
      <c r="C112" s="132"/>
      <c r="D112" s="132"/>
      <c r="E112" s="34">
        <v>7209480</v>
      </c>
      <c r="F112" s="90" t="s">
        <v>62</v>
      </c>
      <c r="G112" s="90" t="s">
        <v>185</v>
      </c>
      <c r="H112" s="90" t="s">
        <v>63</v>
      </c>
      <c r="I112" s="95">
        <f>ROUND(((361*24*823*0.565)+(4*24*823*0.686))/100,2)</f>
        <v>40829.16</v>
      </c>
      <c r="J112" s="25"/>
    </row>
    <row r="113" spans="1:10" ht="22.5">
      <c r="A113" s="93" t="s">
        <v>114</v>
      </c>
      <c r="B113" s="132" t="s">
        <v>53</v>
      </c>
      <c r="C113" s="132"/>
      <c r="D113" s="132"/>
      <c r="E113" s="34">
        <v>458475</v>
      </c>
      <c r="F113" s="90" t="s">
        <v>0</v>
      </c>
      <c r="G113" s="90" t="s">
        <v>186</v>
      </c>
      <c r="H113" s="90" t="s">
        <v>6</v>
      </c>
      <c r="I113" s="95">
        <f>ROUND((0.99*2.416+0.01*2.932)*458475/100,2)</f>
        <v>11100.41</v>
      </c>
      <c r="J113" s="25"/>
    </row>
    <row r="114" spans="1:10" ht="22.5">
      <c r="A114" s="94" t="s">
        <v>65</v>
      </c>
      <c r="B114" s="132" t="s">
        <v>51</v>
      </c>
      <c r="C114" s="132"/>
      <c r="D114" s="132"/>
      <c r="E114" s="34">
        <v>2785680</v>
      </c>
      <c r="F114" s="90" t="s">
        <v>62</v>
      </c>
      <c r="G114" s="90" t="s">
        <v>187</v>
      </c>
      <c r="H114" s="90" t="s">
        <v>63</v>
      </c>
      <c r="I114" s="95">
        <f>ROUND(((357*24*318*0.565)+(8*24*318*0.686))/100,2)</f>
        <v>15812.97</v>
      </c>
      <c r="J114" s="25"/>
    </row>
    <row r="115" spans="1:10" ht="22.5">
      <c r="A115" s="93" t="s">
        <v>117</v>
      </c>
      <c r="B115" s="132" t="s">
        <v>53</v>
      </c>
      <c r="C115" s="132"/>
      <c r="D115" s="132"/>
      <c r="E115" s="34">
        <v>317194</v>
      </c>
      <c r="F115" s="90" t="s">
        <v>0</v>
      </c>
      <c r="G115" s="90" t="s">
        <v>188</v>
      </c>
      <c r="H115" s="90" t="s">
        <v>6</v>
      </c>
      <c r="I115" s="95">
        <f>ROUND((0.9783*2.416+0.0217*2.932)*317194/100,2)</f>
        <v>7698.92</v>
      </c>
      <c r="J115" s="25"/>
    </row>
    <row r="116" spans="1:10" ht="22.5">
      <c r="A116" s="97" t="s">
        <v>65</v>
      </c>
      <c r="B116" s="132" t="s">
        <v>51</v>
      </c>
      <c r="C116" s="132"/>
      <c r="D116" s="132"/>
      <c r="E116" s="34">
        <v>2400240</v>
      </c>
      <c r="F116" s="90" t="s">
        <v>62</v>
      </c>
      <c r="G116" s="90" t="s">
        <v>189</v>
      </c>
      <c r="H116" s="90" t="s">
        <v>63</v>
      </c>
      <c r="I116" s="95">
        <f>ROUND(((356*24*274*0.565)+(9*24*274*0.686))/100,2)</f>
        <v>13632.97</v>
      </c>
      <c r="J116" s="25"/>
    </row>
    <row r="117" spans="1:10" ht="22.5">
      <c r="A117" s="97" t="s">
        <v>119</v>
      </c>
      <c r="B117" s="132" t="s">
        <v>53</v>
      </c>
      <c r="C117" s="132"/>
      <c r="D117" s="132"/>
      <c r="E117" s="34">
        <v>360970</v>
      </c>
      <c r="F117" s="90" t="s">
        <v>0</v>
      </c>
      <c r="G117" s="90" t="s">
        <v>190</v>
      </c>
      <c r="H117" s="90" t="s">
        <v>6</v>
      </c>
      <c r="I117" s="95">
        <f>ROUND((0.9745*2.416+0.0255*2.932)*360970/100,2)</f>
        <v>8768.53</v>
      </c>
      <c r="J117" s="25"/>
    </row>
    <row r="118" spans="1:12" ht="22.5">
      <c r="A118" s="94" t="s">
        <v>65</v>
      </c>
      <c r="B118" s="132" t="s">
        <v>51</v>
      </c>
      <c r="C118" s="132"/>
      <c r="D118" s="132"/>
      <c r="E118" s="34">
        <v>2584200</v>
      </c>
      <c r="F118" s="90" t="s">
        <v>62</v>
      </c>
      <c r="G118" s="90" t="s">
        <v>221</v>
      </c>
      <c r="H118" s="90" t="s">
        <v>63</v>
      </c>
      <c r="I118" s="95">
        <f>ROUND(((354*24*297*0.565)+(11*24*297*0.686))/100,2)</f>
        <v>14794.59</v>
      </c>
      <c r="J118" s="25"/>
      <c r="L118" s="24"/>
    </row>
    <row r="119" spans="1:12" ht="22.5">
      <c r="A119" s="93" t="s">
        <v>123</v>
      </c>
      <c r="B119" s="132" t="s">
        <v>53</v>
      </c>
      <c r="C119" s="132"/>
      <c r="D119" s="132"/>
      <c r="E119" s="34">
        <v>551532</v>
      </c>
      <c r="F119" s="90" t="s">
        <v>0</v>
      </c>
      <c r="G119" s="90" t="s">
        <v>222</v>
      </c>
      <c r="H119" s="90" t="s">
        <v>6</v>
      </c>
      <c r="I119" s="95">
        <f>ROUND((0.97*2.416+0.03*2.932)*551532/100,2)</f>
        <v>13410.39</v>
      </c>
      <c r="J119" s="25"/>
      <c r="L119" s="24"/>
    </row>
    <row r="120" spans="1:10" ht="22.5">
      <c r="A120" s="97" t="s">
        <v>65</v>
      </c>
      <c r="B120" s="132" t="s">
        <v>51</v>
      </c>
      <c r="C120" s="132"/>
      <c r="D120" s="132"/>
      <c r="E120" s="34">
        <v>2785680</v>
      </c>
      <c r="F120" s="90" t="s">
        <v>62</v>
      </c>
      <c r="G120" s="90" t="s">
        <v>191</v>
      </c>
      <c r="H120" s="90" t="s">
        <v>63</v>
      </c>
      <c r="I120" s="95">
        <f>ROUND(((351*24*318*0.565)+(14*24*318*0.686))/100,2)</f>
        <v>15868.38</v>
      </c>
      <c r="J120" s="25"/>
    </row>
    <row r="121" spans="1:10" ht="22.5">
      <c r="A121" s="97" t="s">
        <v>124</v>
      </c>
      <c r="B121" s="132" t="s">
        <v>53</v>
      </c>
      <c r="C121" s="132"/>
      <c r="D121" s="132"/>
      <c r="E121" s="34">
        <v>367308</v>
      </c>
      <c r="F121" s="90" t="s">
        <v>0</v>
      </c>
      <c r="G121" s="90" t="s">
        <v>192</v>
      </c>
      <c r="H121" s="90" t="s">
        <v>6</v>
      </c>
      <c r="I121" s="95">
        <f>ROUND((0.9608*2.416+0.0392*2.932)*367308/100,2)</f>
        <v>8948.46</v>
      </c>
      <c r="J121" s="25"/>
    </row>
    <row r="122" spans="1:10" ht="22.5">
      <c r="A122" s="94" t="s">
        <v>65</v>
      </c>
      <c r="B122" s="132" t="s">
        <v>51</v>
      </c>
      <c r="C122" s="132"/>
      <c r="D122" s="132"/>
      <c r="E122" s="34">
        <v>4318680</v>
      </c>
      <c r="F122" s="90" t="s">
        <v>62</v>
      </c>
      <c r="G122" s="90" t="s">
        <v>193</v>
      </c>
      <c r="H122" s="90" t="s">
        <v>63</v>
      </c>
      <c r="I122" s="95">
        <f>ROUND(((347*24*493*0.565)+(18*24*493*0.686))/100,2)</f>
        <v>24658.24</v>
      </c>
      <c r="J122" s="25"/>
    </row>
    <row r="123" spans="1:10" ht="22.5">
      <c r="A123" s="93" t="s">
        <v>127</v>
      </c>
      <c r="B123" s="132" t="s">
        <v>53</v>
      </c>
      <c r="C123" s="132"/>
      <c r="D123" s="132"/>
      <c r="E123" s="34">
        <v>1114748</v>
      </c>
      <c r="F123" s="90" t="s">
        <v>0</v>
      </c>
      <c r="G123" s="90" t="s">
        <v>194</v>
      </c>
      <c r="H123" s="90" t="s">
        <v>6</v>
      </c>
      <c r="I123" s="95">
        <f>ROUND((0.95*2.416+0.05*2.932)*1114748/100,2)</f>
        <v>27219.92</v>
      </c>
      <c r="J123" s="25"/>
    </row>
    <row r="124" spans="1:10" ht="22.5">
      <c r="A124" s="97" t="s">
        <v>65</v>
      </c>
      <c r="B124" s="132" t="s">
        <v>51</v>
      </c>
      <c r="C124" s="132"/>
      <c r="D124" s="132"/>
      <c r="E124" s="34">
        <v>1638120</v>
      </c>
      <c r="F124" s="90" t="s">
        <v>62</v>
      </c>
      <c r="G124" s="90" t="s">
        <v>195</v>
      </c>
      <c r="H124" s="90" t="s">
        <v>63</v>
      </c>
      <c r="I124" s="95">
        <f>ROUND(((344*24*187*0.565)+(21*24*187*0.686))/100,2)</f>
        <v>9369.42</v>
      </c>
      <c r="J124" s="25"/>
    </row>
    <row r="125" spans="1:10" ht="22.5">
      <c r="A125" s="97" t="s">
        <v>130</v>
      </c>
      <c r="B125" s="132" t="s">
        <v>53</v>
      </c>
      <c r="C125" s="132"/>
      <c r="D125" s="132"/>
      <c r="E125" s="34">
        <v>301507</v>
      </c>
      <c r="F125" s="90" t="s">
        <v>0</v>
      </c>
      <c r="G125" s="90" t="s">
        <v>196</v>
      </c>
      <c r="H125" s="90" t="s">
        <v>6</v>
      </c>
      <c r="I125" s="95">
        <f>ROUND((0.942*2.416+0.058*2.932)*301507/100,2)</f>
        <v>7374.64</v>
      </c>
      <c r="J125" s="25"/>
    </row>
    <row r="126" spans="1:10" ht="22.5">
      <c r="A126" s="94" t="s">
        <v>65</v>
      </c>
      <c r="B126" s="132" t="s">
        <v>51</v>
      </c>
      <c r="C126" s="132"/>
      <c r="D126" s="132"/>
      <c r="E126" s="34">
        <v>972360</v>
      </c>
      <c r="F126" s="90" t="s">
        <v>62</v>
      </c>
      <c r="G126" s="90" t="s">
        <v>197</v>
      </c>
      <c r="H126" s="90" t="s">
        <v>63</v>
      </c>
      <c r="I126" s="95">
        <f>ROUND(((342*24*111*0.565)+(23*24*111*0.686))/100,2)</f>
        <v>5567.97</v>
      </c>
      <c r="J126" s="25"/>
    </row>
    <row r="127" spans="1:10" ht="22.5">
      <c r="A127" s="93" t="s">
        <v>133</v>
      </c>
      <c r="B127" s="132" t="s">
        <v>53</v>
      </c>
      <c r="C127" s="132"/>
      <c r="D127" s="132"/>
      <c r="E127" s="34">
        <v>144324</v>
      </c>
      <c r="F127" s="90" t="s">
        <v>0</v>
      </c>
      <c r="G127" s="90" t="s">
        <v>198</v>
      </c>
      <c r="H127" s="90" t="s">
        <v>6</v>
      </c>
      <c r="I127" s="95">
        <f>ROUND((0.9374*2.416+0.0626*2.932)*144324/100,2)</f>
        <v>3533.49</v>
      </c>
      <c r="J127" s="25"/>
    </row>
    <row r="128" spans="1:10" ht="22.5">
      <c r="A128" s="97" t="s">
        <v>65</v>
      </c>
      <c r="B128" s="132" t="s">
        <v>51</v>
      </c>
      <c r="C128" s="132"/>
      <c r="D128" s="132"/>
      <c r="E128" s="34">
        <v>2400240</v>
      </c>
      <c r="F128" s="90" t="s">
        <v>62</v>
      </c>
      <c r="G128" s="90" t="s">
        <v>199</v>
      </c>
      <c r="H128" s="90" t="s">
        <v>63</v>
      </c>
      <c r="I128" s="95">
        <f>ROUND(((342*24*274*0.565)+(23*24*274*0.686))/100,2)</f>
        <v>13744.37</v>
      </c>
      <c r="J128" s="25"/>
    </row>
    <row r="129" spans="1:10" ht="22.5">
      <c r="A129" s="97" t="s">
        <v>136</v>
      </c>
      <c r="B129" s="132" t="s">
        <v>53</v>
      </c>
      <c r="C129" s="132"/>
      <c r="D129" s="132"/>
      <c r="E129" s="34">
        <v>325162</v>
      </c>
      <c r="F129" s="90" t="s">
        <v>0</v>
      </c>
      <c r="G129" s="90" t="s">
        <v>200</v>
      </c>
      <c r="H129" s="90" t="s">
        <v>6</v>
      </c>
      <c r="I129" s="95">
        <f>ROUND((0.9371*2.416+0.0629*2.932)*325162/100,2)</f>
        <v>7961.45</v>
      </c>
      <c r="J129" s="25"/>
    </row>
    <row r="130" spans="1:10" ht="22.5">
      <c r="A130" s="94" t="s">
        <v>65</v>
      </c>
      <c r="B130" s="132" t="s">
        <v>51</v>
      </c>
      <c r="C130" s="132"/>
      <c r="D130" s="132"/>
      <c r="E130" s="34">
        <v>2014800</v>
      </c>
      <c r="F130" s="90" t="s">
        <v>62</v>
      </c>
      <c r="G130" s="90" t="s">
        <v>201</v>
      </c>
      <c r="H130" s="90" t="s">
        <v>63</v>
      </c>
      <c r="I130" s="95">
        <f>ROUND(((337*24*230*0.565)+(28*24*230*0.686))/100,2)</f>
        <v>11570.64</v>
      </c>
      <c r="J130" s="25"/>
    </row>
    <row r="131" spans="1:10" ht="22.5">
      <c r="A131" s="93" t="s">
        <v>139</v>
      </c>
      <c r="B131" s="132" t="s">
        <v>53</v>
      </c>
      <c r="C131" s="132"/>
      <c r="D131" s="132"/>
      <c r="E131" s="34">
        <v>302100</v>
      </c>
      <c r="F131" s="90" t="s">
        <v>0</v>
      </c>
      <c r="G131" s="90" t="s">
        <v>202</v>
      </c>
      <c r="H131" s="90" t="s">
        <v>6</v>
      </c>
      <c r="I131" s="95">
        <f>ROUND((0.9241*2.416+0.0759*2.932)*302100/100,2)</f>
        <v>7417.05</v>
      </c>
      <c r="J131" s="25"/>
    </row>
    <row r="132" spans="1:10" ht="22.5">
      <c r="A132" s="97" t="s">
        <v>65</v>
      </c>
      <c r="B132" s="132" t="s">
        <v>51</v>
      </c>
      <c r="C132" s="132"/>
      <c r="D132" s="132"/>
      <c r="E132" s="34">
        <v>4809240</v>
      </c>
      <c r="F132" s="90" t="s">
        <v>62</v>
      </c>
      <c r="G132" s="90" t="s">
        <v>203</v>
      </c>
      <c r="H132" s="90" t="s">
        <v>63</v>
      </c>
      <c r="I132" s="95">
        <f>ROUND(((335*24*549*0.565)+(31*24*549*0.686))/100,2)</f>
        <v>27740.88</v>
      </c>
      <c r="J132" s="25"/>
    </row>
    <row r="133" spans="1:10" ht="22.5">
      <c r="A133" s="97" t="s">
        <v>142</v>
      </c>
      <c r="B133" s="132" t="s">
        <v>53</v>
      </c>
      <c r="C133" s="132"/>
      <c r="D133" s="132"/>
      <c r="E133" s="34">
        <v>967290</v>
      </c>
      <c r="F133" s="90" t="s">
        <v>0</v>
      </c>
      <c r="G133" s="90" t="s">
        <v>204</v>
      </c>
      <c r="H133" s="90" t="s">
        <v>6</v>
      </c>
      <c r="I133" s="95">
        <f>ROUND((0.9152*2.416+0.0848*2.932)*967290/100,2)</f>
        <v>23792.98</v>
      </c>
      <c r="J133" s="25"/>
    </row>
    <row r="134" spans="1:10" ht="22.5">
      <c r="A134" s="94" t="s">
        <v>65</v>
      </c>
      <c r="B134" s="132" t="s">
        <v>51</v>
      </c>
      <c r="C134" s="132"/>
      <c r="D134" s="132"/>
      <c r="E134" s="34">
        <v>2978400</v>
      </c>
      <c r="F134" s="90" t="s">
        <v>62</v>
      </c>
      <c r="G134" s="90" t="s">
        <v>205</v>
      </c>
      <c r="H134" s="90" t="s">
        <v>63</v>
      </c>
      <c r="I134" s="95">
        <f>ROUND(((333*24*340*0.565)+(32*24*340*0.686))/100,2)</f>
        <v>17143.92</v>
      </c>
      <c r="J134" s="25"/>
    </row>
    <row r="135" spans="1:10" ht="22.5">
      <c r="A135" s="93" t="s">
        <v>145</v>
      </c>
      <c r="B135" s="132" t="s">
        <v>53</v>
      </c>
      <c r="C135" s="132"/>
      <c r="D135" s="132"/>
      <c r="E135" s="34">
        <v>491408</v>
      </c>
      <c r="F135" s="90" t="s">
        <v>0</v>
      </c>
      <c r="G135" s="90" t="s">
        <v>206</v>
      </c>
      <c r="H135" s="90" t="s">
        <v>6</v>
      </c>
      <c r="I135" s="95">
        <f>ROUND((0.9125*2.416+0.0875*2.932)*491408/100,2)</f>
        <v>12094.29</v>
      </c>
      <c r="J135" s="25"/>
    </row>
    <row r="136" spans="1:10" ht="22.5">
      <c r="A136" s="97" t="s">
        <v>65</v>
      </c>
      <c r="B136" s="132" t="s">
        <v>51</v>
      </c>
      <c r="C136" s="132"/>
      <c r="D136" s="132"/>
      <c r="E136" s="34">
        <v>9215520</v>
      </c>
      <c r="F136" s="90" t="s">
        <v>62</v>
      </c>
      <c r="G136" s="90" t="s">
        <v>207</v>
      </c>
      <c r="H136" s="90" t="s">
        <v>63</v>
      </c>
      <c r="I136" s="95">
        <f>ROUND(((329*24*1052*0.565)+(36*24*1052*0.686))/100,2)</f>
        <v>53167.49</v>
      </c>
      <c r="J136" s="25"/>
    </row>
    <row r="137" spans="1:10" ht="22.5">
      <c r="A137" s="97" t="s">
        <v>148</v>
      </c>
      <c r="B137" s="132" t="s">
        <v>53</v>
      </c>
      <c r="C137" s="132"/>
      <c r="D137" s="132"/>
      <c r="E137" s="34">
        <v>2336987</v>
      </c>
      <c r="F137" s="90" t="s">
        <v>0</v>
      </c>
      <c r="G137" s="90" t="s">
        <v>208</v>
      </c>
      <c r="H137" s="90" t="s">
        <v>6</v>
      </c>
      <c r="I137" s="95">
        <f>ROUND((0.9*2.416+0.1*2.932)*2336987/100,2)</f>
        <v>57667.49</v>
      </c>
      <c r="J137" s="25"/>
    </row>
    <row r="138" spans="1:10" ht="22.5">
      <c r="A138" s="94" t="s">
        <v>65</v>
      </c>
      <c r="B138" s="132" t="s">
        <v>51</v>
      </c>
      <c r="C138" s="132"/>
      <c r="D138" s="132"/>
      <c r="E138" s="34">
        <v>2400240</v>
      </c>
      <c r="F138" s="90" t="s">
        <v>62</v>
      </c>
      <c r="G138" s="90" t="s">
        <v>209</v>
      </c>
      <c r="H138" s="90" t="s">
        <v>63</v>
      </c>
      <c r="I138" s="95">
        <f>ROUND(((274*24*274*0.565)+(91*24*274*0.686))/100,2)</f>
        <v>14285.44</v>
      </c>
      <c r="J138" s="25"/>
    </row>
    <row r="139" spans="1:10" ht="22.5">
      <c r="A139" s="93" t="s">
        <v>151</v>
      </c>
      <c r="B139" s="132" t="s">
        <v>53</v>
      </c>
      <c r="C139" s="132"/>
      <c r="D139" s="132"/>
      <c r="E139" s="34">
        <v>211435</v>
      </c>
      <c r="F139" s="90" t="s">
        <v>0</v>
      </c>
      <c r="G139" s="90" t="s">
        <v>210</v>
      </c>
      <c r="H139" s="90" t="s">
        <v>6</v>
      </c>
      <c r="I139" s="95">
        <f>ROUND((0.75*2.416+0.25*2.932)*211435/100,2)</f>
        <v>5381.02</v>
      </c>
      <c r="J139" s="25"/>
    </row>
    <row r="140" spans="1:10" ht="22.5">
      <c r="A140" s="97" t="s">
        <v>65</v>
      </c>
      <c r="B140" s="132" t="s">
        <v>51</v>
      </c>
      <c r="C140" s="132"/>
      <c r="D140" s="132"/>
      <c r="E140" s="34">
        <v>4818000</v>
      </c>
      <c r="F140" s="90" t="s">
        <v>62</v>
      </c>
      <c r="G140" s="90" t="s">
        <v>211</v>
      </c>
      <c r="H140" s="90" t="s">
        <v>63</v>
      </c>
      <c r="I140" s="95">
        <f>ROUND(((183*24*550*0.565)+(182*24*550*0.686))/100,2)</f>
        <v>30128.6</v>
      </c>
      <c r="J140" s="25"/>
    </row>
    <row r="141" spans="1:10" ht="22.5">
      <c r="A141" s="97" t="s">
        <v>106</v>
      </c>
      <c r="B141" s="132" t="s">
        <v>53</v>
      </c>
      <c r="C141" s="132"/>
      <c r="D141" s="132"/>
      <c r="E141" s="34">
        <v>734869</v>
      </c>
      <c r="F141" s="90" t="s">
        <v>0</v>
      </c>
      <c r="G141" s="90" t="s">
        <v>212</v>
      </c>
      <c r="H141" s="90" t="s">
        <v>6</v>
      </c>
      <c r="I141" s="95">
        <f>ROUND((0.5*2.416+0.5*2.932)*734869/100,2)</f>
        <v>19650.4</v>
      </c>
      <c r="J141" s="25"/>
    </row>
    <row r="142" spans="1:10" ht="22.5">
      <c r="A142" s="94" t="s">
        <v>65</v>
      </c>
      <c r="B142" s="132" t="s">
        <v>51</v>
      </c>
      <c r="C142" s="132"/>
      <c r="D142" s="132"/>
      <c r="E142" s="34">
        <v>1725720</v>
      </c>
      <c r="F142" s="90" t="s">
        <v>62</v>
      </c>
      <c r="G142" s="90" t="s">
        <v>213</v>
      </c>
      <c r="H142" s="90" t="s">
        <v>63</v>
      </c>
      <c r="I142" s="95">
        <f>ROUND(((160*24*197*0.565)+(205*24*197*0.686))/100,2)</f>
        <v>10923.1</v>
      </c>
      <c r="J142" s="25"/>
    </row>
    <row r="143" spans="1:10" ht="22.5">
      <c r="A143" s="93" t="s">
        <v>156</v>
      </c>
      <c r="B143" s="132" t="s">
        <v>53</v>
      </c>
      <c r="C143" s="132"/>
      <c r="D143" s="132"/>
      <c r="E143" s="34">
        <v>242317</v>
      </c>
      <c r="F143" s="90" t="s">
        <v>0</v>
      </c>
      <c r="G143" s="90" t="s">
        <v>214</v>
      </c>
      <c r="H143" s="90" t="s">
        <v>6</v>
      </c>
      <c r="I143" s="95">
        <f>ROUND((0.4371*2.416+0.5629*2.932)*242317/100,2)</f>
        <v>6558.2</v>
      </c>
      <c r="J143" s="25"/>
    </row>
    <row r="144" spans="1:10" ht="22.5">
      <c r="A144" s="97" t="s">
        <v>65</v>
      </c>
      <c r="B144" s="132" t="s">
        <v>51</v>
      </c>
      <c r="C144" s="132"/>
      <c r="D144" s="132"/>
      <c r="E144" s="34">
        <v>1068720</v>
      </c>
      <c r="F144" s="90" t="s">
        <v>62</v>
      </c>
      <c r="G144" s="90" t="s">
        <v>215</v>
      </c>
      <c r="H144" s="90" t="s">
        <v>63</v>
      </c>
      <c r="I144" s="95">
        <f>ROUND(((146*24*122*0.565)+(219*24*122*0.686))/100,2)</f>
        <v>6814.16</v>
      </c>
      <c r="J144" s="25"/>
    </row>
    <row r="145" spans="1:10" ht="22.5">
      <c r="A145" s="97" t="s">
        <v>60</v>
      </c>
      <c r="B145" s="132" t="s">
        <v>53</v>
      </c>
      <c r="C145" s="132"/>
      <c r="D145" s="132"/>
      <c r="E145" s="34">
        <v>5073000</v>
      </c>
      <c r="F145" s="90" t="s">
        <v>0</v>
      </c>
      <c r="G145" s="90" t="s">
        <v>216</v>
      </c>
      <c r="H145" s="90" t="s">
        <v>6</v>
      </c>
      <c r="I145" s="95">
        <f>ROUND((0.4*2.416+0.6*2.932)*5073000/100,2)</f>
        <v>138269.69</v>
      </c>
      <c r="J145" s="25"/>
    </row>
    <row r="146" spans="1:9" ht="22.5">
      <c r="A146" s="94" t="s">
        <v>65</v>
      </c>
      <c r="B146" s="132" t="s">
        <v>51</v>
      </c>
      <c r="C146" s="132"/>
      <c r="D146" s="132"/>
      <c r="E146" s="34">
        <v>3363840</v>
      </c>
      <c r="F146" s="90" t="s">
        <v>62</v>
      </c>
      <c r="G146" s="90" t="s">
        <v>217</v>
      </c>
      <c r="H146" s="90" t="s">
        <v>63</v>
      </c>
      <c r="I146" s="95">
        <f>ROUND(((20*24*384*0.565)+(345*24*384*0.686))/100,2)</f>
        <v>22852.92</v>
      </c>
    </row>
    <row r="147" spans="1:10" ht="22.5">
      <c r="A147" s="93" t="s">
        <v>161</v>
      </c>
      <c r="B147" s="132" t="s">
        <v>53</v>
      </c>
      <c r="C147" s="132"/>
      <c r="D147" s="132"/>
      <c r="E147" s="34">
        <v>355498</v>
      </c>
      <c r="F147" s="90" t="s">
        <v>0</v>
      </c>
      <c r="G147" s="90" t="s">
        <v>218</v>
      </c>
      <c r="H147" s="90" t="s">
        <v>6</v>
      </c>
      <c r="I147" s="95">
        <f>ROUND((0.05*2.416+0.95*2.932)*355498/100,2)</f>
        <v>10331.48</v>
      </c>
      <c r="J147" s="25"/>
    </row>
    <row r="148" spans="1:9" ht="23.25" customHeight="1">
      <c r="A148" s="66"/>
      <c r="B148" s="156" t="s">
        <v>251</v>
      </c>
      <c r="C148" s="156"/>
      <c r="D148" s="156"/>
      <c r="E148" s="156"/>
      <c r="F148" s="156"/>
      <c r="G148" s="156"/>
      <c r="H148" s="156"/>
      <c r="I148" s="35"/>
    </row>
    <row r="149" spans="1:12" ht="23.25" customHeight="1">
      <c r="A149" s="66"/>
      <c r="B149" s="156" t="s">
        <v>252</v>
      </c>
      <c r="C149" s="156"/>
      <c r="D149" s="156"/>
      <c r="E149" s="156"/>
      <c r="F149" s="156"/>
      <c r="G149" s="156"/>
      <c r="H149" s="156"/>
      <c r="I149" s="86">
        <f>SUM(I46:I147)</f>
        <v>2747352.4944080007</v>
      </c>
      <c r="J149" s="25"/>
      <c r="K149" s="25"/>
      <c r="L149" s="25"/>
    </row>
    <row r="150" spans="1:9" ht="23.25" customHeight="1">
      <c r="A150" s="66"/>
      <c r="B150" s="156" t="s">
        <v>253</v>
      </c>
      <c r="C150" s="156"/>
      <c r="D150" s="156"/>
      <c r="E150" s="156"/>
      <c r="F150" s="156"/>
      <c r="G150" s="156"/>
      <c r="H150" s="156"/>
      <c r="I150" s="35"/>
    </row>
    <row r="154" ht="11.25">
      <c r="I154" s="28"/>
    </row>
  </sheetData>
  <sheetProtection/>
  <mergeCells count="158">
    <mergeCell ref="B138:D138"/>
    <mergeCell ref="B150:H150"/>
    <mergeCell ref="B144:D144"/>
    <mergeCell ref="B145:D145"/>
    <mergeCell ref="B146:D146"/>
    <mergeCell ref="B147:D147"/>
    <mergeCell ref="B148:H148"/>
    <mergeCell ref="B149:H149"/>
    <mergeCell ref="B139:D139"/>
    <mergeCell ref="B140:D140"/>
    <mergeCell ref="B131:D131"/>
    <mergeCell ref="B141:D141"/>
    <mergeCell ref="B142:D142"/>
    <mergeCell ref="B143:D143"/>
    <mergeCell ref="B132:D132"/>
    <mergeCell ref="B133:D133"/>
    <mergeCell ref="B134:D134"/>
    <mergeCell ref="B135:D135"/>
    <mergeCell ref="B136:D136"/>
    <mergeCell ref="B137:D137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A105:I105"/>
    <mergeCell ref="B106:D106"/>
    <mergeCell ref="B95:D95"/>
    <mergeCell ref="B96:D96"/>
    <mergeCell ref="B97:D97"/>
    <mergeCell ref="B98:D98"/>
    <mergeCell ref="B99:D99"/>
    <mergeCell ref="B100:D100"/>
    <mergeCell ref="B89:D89"/>
    <mergeCell ref="A90:I90"/>
    <mergeCell ref="B91:D91"/>
    <mergeCell ref="B92:D92"/>
    <mergeCell ref="B93:D93"/>
    <mergeCell ref="B94:D94"/>
    <mergeCell ref="B83:D83"/>
    <mergeCell ref="B84:D84"/>
    <mergeCell ref="A85:I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6:D56"/>
    <mergeCell ref="B57:D57"/>
    <mergeCell ref="B58:D58"/>
    <mergeCell ref="A62:I62"/>
    <mergeCell ref="B63:D63"/>
    <mergeCell ref="B64:D64"/>
    <mergeCell ref="A59:I59"/>
    <mergeCell ref="B60:D60"/>
    <mergeCell ref="B61:D61"/>
    <mergeCell ref="A50:I50"/>
    <mergeCell ref="B51:D51"/>
    <mergeCell ref="B52:D52"/>
    <mergeCell ref="B53:D53"/>
    <mergeCell ref="B54:D54"/>
    <mergeCell ref="B55:D55"/>
    <mergeCell ref="A45:I45"/>
    <mergeCell ref="B46:D46"/>
    <mergeCell ref="B47:D47"/>
    <mergeCell ref="B48:D48"/>
    <mergeCell ref="B49:D49"/>
    <mergeCell ref="B41:B44"/>
    <mergeCell ref="C41:D42"/>
    <mergeCell ref="F41:F44"/>
    <mergeCell ref="H41:H44"/>
    <mergeCell ref="I41:I42"/>
    <mergeCell ref="C43:D44"/>
    <mergeCell ref="I43:I44"/>
    <mergeCell ref="D39:D40"/>
    <mergeCell ref="I39:I40"/>
    <mergeCell ref="F19:F40"/>
    <mergeCell ref="H19:H40"/>
    <mergeCell ref="I19:I20"/>
    <mergeCell ref="D21:D22"/>
    <mergeCell ref="D29:D30"/>
    <mergeCell ref="I23:I24"/>
    <mergeCell ref="I29:I30"/>
    <mergeCell ref="I21:I22"/>
    <mergeCell ref="I25:I26"/>
    <mergeCell ref="D27:D28"/>
    <mergeCell ref="I27:I28"/>
    <mergeCell ref="C31:C40"/>
    <mergeCell ref="D31:D32"/>
    <mergeCell ref="I31:I32"/>
    <mergeCell ref="D33:D34"/>
    <mergeCell ref="I33:I34"/>
    <mergeCell ref="D37:D38"/>
    <mergeCell ref="I37:I38"/>
    <mergeCell ref="I35:I36"/>
    <mergeCell ref="I11:I12"/>
    <mergeCell ref="C13:D14"/>
    <mergeCell ref="I13:I14"/>
    <mergeCell ref="C15:D16"/>
    <mergeCell ref="I15:I16"/>
    <mergeCell ref="C17:D18"/>
    <mergeCell ref="I17:I18"/>
    <mergeCell ref="A11:A44"/>
    <mergeCell ref="B11:B40"/>
    <mergeCell ref="C11:D12"/>
    <mergeCell ref="F11:F18"/>
    <mergeCell ref="H11:H18"/>
    <mergeCell ref="C19:C30"/>
    <mergeCell ref="D19:D20"/>
    <mergeCell ref="D23:D24"/>
    <mergeCell ref="D35:D36"/>
    <mergeCell ref="D25:D26"/>
    <mergeCell ref="B7:D9"/>
    <mergeCell ref="I7:I9"/>
    <mergeCell ref="B10:D10"/>
    <mergeCell ref="E10:F10"/>
    <mergeCell ref="G10:H10"/>
    <mergeCell ref="G7:H9"/>
    <mergeCell ref="E7:F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6"/>
  <sheetViews>
    <sheetView zoomScaleSheetLayoutView="100" zoomScalePageLayoutView="0" workbookViewId="0" topLeftCell="A16">
      <selection activeCell="N29" sqref="N29"/>
    </sheetView>
  </sheetViews>
  <sheetFormatPr defaultColWidth="9.00390625" defaultRowHeight="14.25"/>
  <cols>
    <col min="1" max="1" width="17.125" style="16" customWidth="1"/>
    <col min="2" max="2" width="17.625" style="16" customWidth="1"/>
    <col min="3" max="3" width="11.00390625" style="16" customWidth="1"/>
    <col min="4" max="4" width="10.00390625" style="16" customWidth="1"/>
    <col min="5" max="5" width="18.00390625" style="17" customWidth="1"/>
    <col min="6" max="6" width="9.00390625" style="18" customWidth="1"/>
    <col min="7" max="7" width="19.00390625" style="22" customWidth="1"/>
    <col min="8" max="8" width="9.00390625" style="16" customWidth="1"/>
    <col min="9" max="9" width="13.25390625" style="20" customWidth="1"/>
    <col min="10" max="11" width="14.625" style="10" bestFit="1" customWidth="1"/>
    <col min="12" max="12" width="13.125" style="10" bestFit="1" customWidth="1"/>
    <col min="13" max="16384" width="9.00390625" style="10" customWidth="1"/>
  </cols>
  <sheetData>
    <row r="1" ht="18.75">
      <c r="A1" s="69" t="s">
        <v>264</v>
      </c>
    </row>
    <row r="2" ht="18.75">
      <c r="A2" s="69" t="s">
        <v>265</v>
      </c>
    </row>
    <row r="6" spans="1:9" ht="11.25">
      <c r="A6" s="46"/>
      <c r="B6" s="123" t="s">
        <v>1</v>
      </c>
      <c r="C6" s="124"/>
      <c r="D6" s="125"/>
      <c r="E6" s="118" t="s">
        <v>257</v>
      </c>
      <c r="F6" s="118"/>
      <c r="G6" s="119" t="s">
        <v>242</v>
      </c>
      <c r="H6" s="120"/>
      <c r="I6" s="129" t="s">
        <v>2</v>
      </c>
    </row>
    <row r="7" spans="1:9" ht="11.25">
      <c r="A7" s="46"/>
      <c r="B7" s="126"/>
      <c r="C7" s="127"/>
      <c r="D7" s="128"/>
      <c r="E7" s="118"/>
      <c r="F7" s="118"/>
      <c r="G7" s="121"/>
      <c r="H7" s="122"/>
      <c r="I7" s="130"/>
    </row>
    <row r="8" spans="1:9" ht="11.25">
      <c r="A8" s="46"/>
      <c r="B8" s="157"/>
      <c r="C8" s="158"/>
      <c r="D8" s="159"/>
      <c r="E8" s="118"/>
      <c r="F8" s="118"/>
      <c r="G8" s="160"/>
      <c r="H8" s="161"/>
      <c r="I8" s="145"/>
    </row>
    <row r="9" spans="1:9" ht="11.25">
      <c r="A9" s="31">
        <v>1</v>
      </c>
      <c r="B9" s="144">
        <v>2</v>
      </c>
      <c r="C9" s="144"/>
      <c r="D9" s="144"/>
      <c r="E9" s="118">
        <v>3</v>
      </c>
      <c r="F9" s="118"/>
      <c r="G9" s="142">
        <v>4</v>
      </c>
      <c r="H9" s="142"/>
      <c r="I9" s="33" t="s">
        <v>3</v>
      </c>
    </row>
    <row r="10" spans="1:11" ht="11.25">
      <c r="A10" s="144" t="s">
        <v>4</v>
      </c>
      <c r="B10" s="142" t="s">
        <v>256</v>
      </c>
      <c r="C10" s="142" t="s">
        <v>244</v>
      </c>
      <c r="D10" s="142"/>
      <c r="E10" s="34" t="s">
        <v>241</v>
      </c>
      <c r="F10" s="118" t="s">
        <v>0</v>
      </c>
      <c r="G10" s="71" t="s">
        <v>5</v>
      </c>
      <c r="H10" s="142" t="s">
        <v>6</v>
      </c>
      <c r="I10" s="143"/>
      <c r="K10" s="11"/>
    </row>
    <row r="11" spans="1:12" ht="11.25">
      <c r="A11" s="144"/>
      <c r="B11" s="142"/>
      <c r="C11" s="142"/>
      <c r="D11" s="142"/>
      <c r="E11" s="34">
        <v>47455517</v>
      </c>
      <c r="F11" s="118"/>
      <c r="G11" s="71"/>
      <c r="H11" s="142"/>
      <c r="I11" s="143"/>
      <c r="K11" s="11"/>
      <c r="L11" s="11"/>
    </row>
    <row r="12" spans="1:9" ht="11.25">
      <c r="A12" s="144"/>
      <c r="B12" s="142"/>
      <c r="C12" s="142" t="s">
        <v>245</v>
      </c>
      <c r="D12" s="142"/>
      <c r="E12" s="34" t="s">
        <v>7</v>
      </c>
      <c r="F12" s="118"/>
      <c r="G12" s="71" t="s">
        <v>8</v>
      </c>
      <c r="H12" s="142"/>
      <c r="I12" s="143"/>
    </row>
    <row r="13" spans="1:9" ht="11.25">
      <c r="A13" s="144"/>
      <c r="B13" s="142"/>
      <c r="C13" s="142"/>
      <c r="D13" s="142"/>
      <c r="E13" s="34">
        <v>5914988</v>
      </c>
      <c r="F13" s="118"/>
      <c r="G13" s="71"/>
      <c r="H13" s="142"/>
      <c r="I13" s="143"/>
    </row>
    <row r="14" spans="1:9" ht="24.75" customHeight="1">
      <c r="A14" s="144"/>
      <c r="B14" s="142"/>
      <c r="C14" s="142" t="s">
        <v>246</v>
      </c>
      <c r="D14" s="142"/>
      <c r="E14" s="34" t="s">
        <v>9</v>
      </c>
      <c r="F14" s="118"/>
      <c r="G14" s="71" t="s">
        <v>10</v>
      </c>
      <c r="H14" s="142"/>
      <c r="I14" s="143"/>
    </row>
    <row r="15" spans="1:9" ht="24.75" customHeight="1">
      <c r="A15" s="144"/>
      <c r="B15" s="142"/>
      <c r="C15" s="142"/>
      <c r="D15" s="142"/>
      <c r="E15" s="34">
        <v>766690</v>
      </c>
      <c r="F15" s="118"/>
      <c r="G15" s="71"/>
      <c r="H15" s="142"/>
      <c r="I15" s="143"/>
    </row>
    <row r="16" spans="1:9" ht="24.75" customHeight="1">
      <c r="A16" s="144"/>
      <c r="B16" s="142"/>
      <c r="C16" s="142" t="s">
        <v>247</v>
      </c>
      <c r="D16" s="142"/>
      <c r="E16" s="34" t="s">
        <v>11</v>
      </c>
      <c r="F16" s="118"/>
      <c r="G16" s="71" t="s">
        <v>12</v>
      </c>
      <c r="H16" s="142"/>
      <c r="I16" s="143"/>
    </row>
    <row r="17" spans="1:11" ht="34.5" customHeight="1">
      <c r="A17" s="144"/>
      <c r="B17" s="142"/>
      <c r="C17" s="142"/>
      <c r="D17" s="142"/>
      <c r="E17" s="34">
        <v>729866</v>
      </c>
      <c r="F17" s="118"/>
      <c r="G17" s="71"/>
      <c r="H17" s="142"/>
      <c r="I17" s="143"/>
      <c r="K17" s="11"/>
    </row>
    <row r="18" spans="1:9" ht="11.25">
      <c r="A18" s="144"/>
      <c r="B18" s="142"/>
      <c r="C18" s="142" t="s">
        <v>13</v>
      </c>
      <c r="D18" s="142" t="s">
        <v>226</v>
      </c>
      <c r="E18" s="34" t="s">
        <v>15</v>
      </c>
      <c r="F18" s="118" t="s">
        <v>16</v>
      </c>
      <c r="G18" s="71" t="s">
        <v>17</v>
      </c>
      <c r="H18" s="142" t="s">
        <v>18</v>
      </c>
      <c r="I18" s="143"/>
    </row>
    <row r="19" spans="1:9" ht="11.25">
      <c r="A19" s="144"/>
      <c r="B19" s="142"/>
      <c r="C19" s="142"/>
      <c r="D19" s="142"/>
      <c r="E19" s="34">
        <v>74</v>
      </c>
      <c r="F19" s="118"/>
      <c r="G19" s="36"/>
      <c r="H19" s="142"/>
      <c r="I19" s="143"/>
    </row>
    <row r="20" spans="1:9" ht="11.25">
      <c r="A20" s="144"/>
      <c r="B20" s="142"/>
      <c r="C20" s="142"/>
      <c r="D20" s="142" t="s">
        <v>225</v>
      </c>
      <c r="E20" s="34" t="s">
        <v>20</v>
      </c>
      <c r="F20" s="118"/>
      <c r="G20" s="71" t="s">
        <v>21</v>
      </c>
      <c r="H20" s="142"/>
      <c r="I20" s="143"/>
    </row>
    <row r="21" spans="1:9" ht="11.25">
      <c r="A21" s="144"/>
      <c r="B21" s="142"/>
      <c r="C21" s="142"/>
      <c r="D21" s="142"/>
      <c r="E21" s="34">
        <v>12</v>
      </c>
      <c r="F21" s="118"/>
      <c r="G21" s="36"/>
      <c r="H21" s="142"/>
      <c r="I21" s="143"/>
    </row>
    <row r="22" spans="1:9" ht="24.75" customHeight="1">
      <c r="A22" s="144"/>
      <c r="B22" s="142"/>
      <c r="C22" s="142" t="s">
        <v>35</v>
      </c>
      <c r="D22" s="142" t="s">
        <v>226</v>
      </c>
      <c r="E22" s="34" t="s">
        <v>23</v>
      </c>
      <c r="F22" s="118"/>
      <c r="G22" s="71" t="s">
        <v>24</v>
      </c>
      <c r="H22" s="142"/>
      <c r="I22" s="143"/>
    </row>
    <row r="23" spans="1:9" s="12" customFormat="1" ht="24.75" customHeight="1">
      <c r="A23" s="144"/>
      <c r="B23" s="142"/>
      <c r="C23" s="142"/>
      <c r="D23" s="142"/>
      <c r="E23" s="34">
        <v>10</v>
      </c>
      <c r="F23" s="118"/>
      <c r="G23" s="36"/>
      <c r="H23" s="142"/>
      <c r="I23" s="143"/>
    </row>
    <row r="24" spans="1:9" ht="34.5" customHeight="1">
      <c r="A24" s="144"/>
      <c r="B24" s="142" t="s">
        <v>231</v>
      </c>
      <c r="C24" s="142" t="s">
        <v>47</v>
      </c>
      <c r="D24" s="142"/>
      <c r="E24" s="34" t="s">
        <v>45</v>
      </c>
      <c r="F24" s="118" t="s">
        <v>0</v>
      </c>
      <c r="G24" s="71" t="s">
        <v>46</v>
      </c>
      <c r="H24" s="142" t="s">
        <v>6</v>
      </c>
      <c r="I24" s="143"/>
    </row>
    <row r="25" spans="1:13" ht="34.5" customHeight="1">
      <c r="A25" s="144"/>
      <c r="B25" s="142"/>
      <c r="C25" s="142"/>
      <c r="D25" s="142"/>
      <c r="E25" s="34">
        <v>562020</v>
      </c>
      <c r="F25" s="118"/>
      <c r="G25" s="71"/>
      <c r="H25" s="142"/>
      <c r="I25" s="143"/>
      <c r="M25" s="11"/>
    </row>
    <row r="26" spans="1:9" ht="11.25">
      <c r="A26" s="144" t="s">
        <v>223</v>
      </c>
      <c r="B26" s="144"/>
      <c r="C26" s="144"/>
      <c r="D26" s="144"/>
      <c r="E26" s="144"/>
      <c r="F26" s="144"/>
      <c r="G26" s="144"/>
      <c r="H26" s="144"/>
      <c r="I26" s="144"/>
    </row>
    <row r="27" spans="1:9" ht="22.5">
      <c r="A27" s="94" t="s">
        <v>64</v>
      </c>
      <c r="B27" s="140" t="s">
        <v>51</v>
      </c>
      <c r="C27" s="140"/>
      <c r="D27" s="140"/>
      <c r="E27" s="37">
        <v>34120200</v>
      </c>
      <c r="F27" s="92" t="s">
        <v>62</v>
      </c>
      <c r="G27" s="90">
        <v>0.684</v>
      </c>
      <c r="H27" s="90" t="s">
        <v>63</v>
      </c>
      <c r="I27" s="39">
        <f>ROUND(E27*G27/100,2)</f>
        <v>233382.17</v>
      </c>
    </row>
    <row r="28" spans="1:11" ht="22.5">
      <c r="A28" s="93" t="s">
        <v>52</v>
      </c>
      <c r="B28" s="141" t="s">
        <v>53</v>
      </c>
      <c r="C28" s="141"/>
      <c r="D28" s="141"/>
      <c r="E28" s="37">
        <v>9514863</v>
      </c>
      <c r="F28" s="92" t="s">
        <v>0</v>
      </c>
      <c r="G28" s="90">
        <v>2.405</v>
      </c>
      <c r="H28" s="90" t="s">
        <v>6</v>
      </c>
      <c r="I28" s="39">
        <f>ROUND(E28*G28/100,2)</f>
        <v>228832.46</v>
      </c>
      <c r="K28" s="13"/>
    </row>
    <row r="29" spans="1:9" ht="22.5">
      <c r="A29" s="94" t="s">
        <v>64</v>
      </c>
      <c r="B29" s="140" t="s">
        <v>51</v>
      </c>
      <c r="C29" s="140"/>
      <c r="D29" s="140"/>
      <c r="E29" s="37">
        <v>6228360</v>
      </c>
      <c r="F29" s="92" t="s">
        <v>62</v>
      </c>
      <c r="G29" s="90">
        <v>0.83</v>
      </c>
      <c r="H29" s="90" t="s">
        <v>63</v>
      </c>
      <c r="I29" s="39">
        <f>ROUND(E29*G29/100,2)</f>
        <v>51695.39</v>
      </c>
    </row>
    <row r="30" spans="1:11" ht="11.25">
      <c r="A30" s="93" t="s">
        <v>54</v>
      </c>
      <c r="B30" s="141" t="s">
        <v>53</v>
      </c>
      <c r="C30" s="141"/>
      <c r="D30" s="141"/>
      <c r="E30" s="37">
        <v>562020</v>
      </c>
      <c r="F30" s="92" t="s">
        <v>0</v>
      </c>
      <c r="G30" s="90">
        <v>2.918</v>
      </c>
      <c r="H30" s="90" t="s">
        <v>6</v>
      </c>
      <c r="I30" s="39">
        <f>ROUND(E30*G30/100,2)</f>
        <v>16399.74</v>
      </c>
      <c r="K30" s="13"/>
    </row>
    <row r="31" spans="1:9" ht="22.5">
      <c r="A31" s="94" t="s">
        <v>65</v>
      </c>
      <c r="B31" s="132" t="s">
        <v>51</v>
      </c>
      <c r="C31" s="132"/>
      <c r="D31" s="132"/>
      <c r="E31" s="37">
        <v>24028680</v>
      </c>
      <c r="F31" s="92" t="s">
        <v>62</v>
      </c>
      <c r="G31" s="90" t="s">
        <v>235</v>
      </c>
      <c r="H31" s="90" t="s">
        <v>63</v>
      </c>
      <c r="I31" s="39">
        <f>ROUND(((363*24*2743*0.684)+(2*24*2743*0.83))/100,2)</f>
        <v>164548.4</v>
      </c>
    </row>
    <row r="32" spans="1:11" ht="33.75">
      <c r="A32" s="93" t="s">
        <v>236</v>
      </c>
      <c r="B32" s="133" t="s">
        <v>53</v>
      </c>
      <c r="C32" s="133"/>
      <c r="D32" s="133"/>
      <c r="E32" s="37">
        <v>12341754</v>
      </c>
      <c r="F32" s="92" t="s">
        <v>0</v>
      </c>
      <c r="G32" s="90" t="s">
        <v>233</v>
      </c>
      <c r="H32" s="90" t="s">
        <v>6</v>
      </c>
      <c r="I32" s="39">
        <f>ROUND((0.9933*2.405+0.0067*2.918)*12341754/100,2)</f>
        <v>297243.38</v>
      </c>
      <c r="K32" s="13"/>
    </row>
    <row r="33" spans="1:9" ht="22.5">
      <c r="A33" s="94" t="s">
        <v>65</v>
      </c>
      <c r="B33" s="132" t="s">
        <v>51</v>
      </c>
      <c r="C33" s="132"/>
      <c r="D33" s="132"/>
      <c r="E33" s="37">
        <v>12491760</v>
      </c>
      <c r="F33" s="92" t="s">
        <v>62</v>
      </c>
      <c r="G33" s="90" t="s">
        <v>237</v>
      </c>
      <c r="H33" s="90" t="s">
        <v>63</v>
      </c>
      <c r="I33" s="39">
        <f>ROUND(((293*24*1426*0.684)+(72*24*1426*0.83))/100,2)</f>
        <v>89041.27</v>
      </c>
    </row>
    <row r="34" spans="1:11" ht="33.75">
      <c r="A34" s="93" t="s">
        <v>228</v>
      </c>
      <c r="B34" s="133" t="s">
        <v>53</v>
      </c>
      <c r="C34" s="133"/>
      <c r="D34" s="133"/>
      <c r="E34" s="37">
        <v>3712444</v>
      </c>
      <c r="F34" s="92" t="s">
        <v>0</v>
      </c>
      <c r="G34" s="90" t="s">
        <v>238</v>
      </c>
      <c r="H34" s="90" t="s">
        <v>6</v>
      </c>
      <c r="I34" s="39">
        <f>ROUND((0.8034*2.405+0.1966*2.918)*3712444/100,2)</f>
        <v>93028.49</v>
      </c>
      <c r="K34" s="13"/>
    </row>
    <row r="35" spans="1:9" ht="22.5">
      <c r="A35" s="97" t="s">
        <v>65</v>
      </c>
      <c r="B35" s="132" t="s">
        <v>51</v>
      </c>
      <c r="C35" s="132"/>
      <c r="D35" s="132"/>
      <c r="E35" s="37">
        <v>11388000</v>
      </c>
      <c r="F35" s="92" t="s">
        <v>62</v>
      </c>
      <c r="G35" s="90" t="s">
        <v>239</v>
      </c>
      <c r="H35" s="90" t="s">
        <v>63</v>
      </c>
      <c r="I35" s="39">
        <f>ROUND(((146*24*1300*0.684)+(219*24*1300*0.83))/100,2)</f>
        <v>87869.81</v>
      </c>
    </row>
    <row r="36" spans="1:11" ht="33.75">
      <c r="A36" s="97" t="s">
        <v>60</v>
      </c>
      <c r="B36" s="136" t="s">
        <v>53</v>
      </c>
      <c r="C36" s="136"/>
      <c r="D36" s="136"/>
      <c r="E36" s="42">
        <v>1140000</v>
      </c>
      <c r="F36" s="43" t="s">
        <v>0</v>
      </c>
      <c r="G36" s="44" t="s">
        <v>240</v>
      </c>
      <c r="H36" s="44" t="s">
        <v>6</v>
      </c>
      <c r="I36" s="45">
        <f>ROUND((0.4*2.405+0.6*2.918)*1140000/100,2)</f>
        <v>30925.92</v>
      </c>
      <c r="K36" s="13"/>
    </row>
    <row r="37" spans="1:9" ht="11.25">
      <c r="A37" s="134" t="s">
        <v>224</v>
      </c>
      <c r="B37" s="134"/>
      <c r="C37" s="134"/>
      <c r="D37" s="134"/>
      <c r="E37" s="134"/>
      <c r="F37" s="134"/>
      <c r="G37" s="134"/>
      <c r="H37" s="134"/>
      <c r="I37" s="134"/>
    </row>
    <row r="38" spans="1:12" ht="22.5">
      <c r="A38" s="91" t="s">
        <v>64</v>
      </c>
      <c r="B38" s="132" t="s">
        <v>51</v>
      </c>
      <c r="C38" s="132"/>
      <c r="D38" s="132"/>
      <c r="E38" s="34">
        <v>57763440</v>
      </c>
      <c r="F38" s="92" t="s">
        <v>62</v>
      </c>
      <c r="G38" s="90">
        <v>0.656</v>
      </c>
      <c r="H38" s="90" t="s">
        <v>63</v>
      </c>
      <c r="I38" s="95">
        <f>ROUND(E38*G38/100,2)</f>
        <v>378928.17</v>
      </c>
      <c r="L38" s="11"/>
    </row>
    <row r="39" spans="1:12" ht="22.5">
      <c r="A39" s="91" t="s">
        <v>52</v>
      </c>
      <c r="B39" s="133" t="s">
        <v>53</v>
      </c>
      <c r="C39" s="133"/>
      <c r="D39" s="133"/>
      <c r="E39" s="37">
        <v>28158000</v>
      </c>
      <c r="F39" s="92" t="s">
        <v>0</v>
      </c>
      <c r="G39" s="90">
        <v>1.765</v>
      </c>
      <c r="H39" s="90" t="s">
        <v>6</v>
      </c>
      <c r="I39" s="95">
        <f>ROUND(E39*G39/100,2)</f>
        <v>496988.7</v>
      </c>
      <c r="K39" s="13"/>
      <c r="L39" s="11"/>
    </row>
    <row r="40" spans="1:12" ht="23.25" customHeight="1">
      <c r="A40" s="30"/>
      <c r="B40" s="131" t="s">
        <v>251</v>
      </c>
      <c r="C40" s="131"/>
      <c r="D40" s="131"/>
      <c r="E40" s="131"/>
      <c r="F40" s="131"/>
      <c r="G40" s="131"/>
      <c r="H40" s="131"/>
      <c r="I40" s="38"/>
      <c r="K40" s="13"/>
      <c r="L40" s="13"/>
    </row>
    <row r="41" spans="1:13" ht="23.25" customHeight="1">
      <c r="A41" s="30"/>
      <c r="B41" s="131" t="s">
        <v>252</v>
      </c>
      <c r="C41" s="131"/>
      <c r="D41" s="131"/>
      <c r="E41" s="131"/>
      <c r="F41" s="131"/>
      <c r="G41" s="131"/>
      <c r="H41" s="131"/>
      <c r="I41" s="38">
        <f>I39+I38+I36+I35+I34+I33+I32+I31+I30+I29+I28+I27</f>
        <v>2168883.9</v>
      </c>
      <c r="J41" s="14"/>
      <c r="K41" s="14"/>
      <c r="L41" s="15"/>
      <c r="M41" s="13"/>
    </row>
    <row r="42" spans="1:9" ht="23.25" customHeight="1">
      <c r="A42" s="30"/>
      <c r="B42" s="131" t="s">
        <v>253</v>
      </c>
      <c r="C42" s="131"/>
      <c r="D42" s="131"/>
      <c r="E42" s="131"/>
      <c r="F42" s="131"/>
      <c r="G42" s="131"/>
      <c r="H42" s="131"/>
      <c r="I42" s="38"/>
    </row>
    <row r="46" ht="11.25">
      <c r="I46" s="19"/>
    </row>
  </sheetData>
  <sheetProtection/>
  <mergeCells count="51">
    <mergeCell ref="B39:D39"/>
    <mergeCell ref="B40:H40"/>
    <mergeCell ref="B41:H41"/>
    <mergeCell ref="B42:H42"/>
    <mergeCell ref="G6:H8"/>
    <mergeCell ref="E6:F8"/>
    <mergeCell ref="B33:D33"/>
    <mergeCell ref="B34:D34"/>
    <mergeCell ref="B35:D35"/>
    <mergeCell ref="B36:D36"/>
    <mergeCell ref="A37:I37"/>
    <mergeCell ref="B38:D38"/>
    <mergeCell ref="B27:D27"/>
    <mergeCell ref="B28:D28"/>
    <mergeCell ref="B29:D29"/>
    <mergeCell ref="B30:D30"/>
    <mergeCell ref="B31:D31"/>
    <mergeCell ref="B32:D32"/>
    <mergeCell ref="B24:B25"/>
    <mergeCell ref="C24:D25"/>
    <mergeCell ref="F24:F25"/>
    <mergeCell ref="H24:H25"/>
    <mergeCell ref="I24:I25"/>
    <mergeCell ref="A26:I26"/>
    <mergeCell ref="H18:H23"/>
    <mergeCell ref="I18:I19"/>
    <mergeCell ref="D20:D21"/>
    <mergeCell ref="I20:I21"/>
    <mergeCell ref="C22:C23"/>
    <mergeCell ref="D22:D23"/>
    <mergeCell ref="I22:I23"/>
    <mergeCell ref="C18:C21"/>
    <mergeCell ref="D18:D19"/>
    <mergeCell ref="F18:F23"/>
    <mergeCell ref="I10:I11"/>
    <mergeCell ref="C12:D13"/>
    <mergeCell ref="I12:I13"/>
    <mergeCell ref="C14:D15"/>
    <mergeCell ref="I14:I15"/>
    <mergeCell ref="C16:D17"/>
    <mergeCell ref="I16:I17"/>
    <mergeCell ref="B6:D8"/>
    <mergeCell ref="I6:I8"/>
    <mergeCell ref="B9:D9"/>
    <mergeCell ref="E9:F9"/>
    <mergeCell ref="G9:H9"/>
    <mergeCell ref="A10:A25"/>
    <mergeCell ref="B10:B23"/>
    <mergeCell ref="C10:D11"/>
    <mergeCell ref="F10:F17"/>
    <mergeCell ref="H10:H17"/>
  </mergeCells>
  <printOptions/>
  <pageMargins left="0.7" right="0.7" top="0.75" bottom="0.75" header="0.3" footer="0.3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grod@pgksa.pl</cp:lastModifiedBy>
  <cp:lastPrinted>2023-10-04T12:09:17Z</cp:lastPrinted>
  <dcterms:created xsi:type="dcterms:W3CDTF">2012-01-22T12:30:35Z</dcterms:created>
  <dcterms:modified xsi:type="dcterms:W3CDTF">2023-10-06T06:51:57Z</dcterms:modified>
  <cp:category/>
  <cp:version/>
  <cp:contentType/>
  <cp:contentStatus/>
</cp:coreProperties>
</file>